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Français\"/>
    </mc:Choice>
  </mc:AlternateContent>
  <bookViews>
    <workbookView xWindow="0" yWindow="0" windowWidth="28800" windowHeight="12210" tabRatio="560"/>
  </bookViews>
  <sheets>
    <sheet name="V2 Français" sheetId="1" r:id="rId1"/>
  </sheets>
  <externalReferences>
    <externalReference r:id="rId2"/>
    <externalReference r:id="rId3"/>
  </externalReferences>
  <definedNames>
    <definedName name="__123Graph_A" localSheetId="0" hidden="1">'V2 Français'!$E$13:$E$65</definedName>
    <definedName name="__123Graph_B" localSheetId="0" hidden="1">'V2 Français'!$F$13:$F$65</definedName>
    <definedName name="__123Graph_C" localSheetId="0" hidden="1">'V2 Français'!$G$13:$G$65</definedName>
    <definedName name="__123Graph_D" localSheetId="0" hidden="1">'V2 Français'!$H$13:$H$65</definedName>
    <definedName name="__123Graph_E" localSheetId="0" hidden="1">'V2 Français'!$I$13:$I$65</definedName>
    <definedName name="__123Graph_F" localSheetId="0" hidden="1">'V2 Français'!$J$13:$J$65</definedName>
    <definedName name="__123Graph_X" localSheetId="0" hidden="1">'V2 Français'!$A$13:$A$67</definedName>
    <definedName name="_xlnm.Print_Area" localSheetId="0">'V2 Français'!$A$1:$JL$81</definedName>
    <definedName name="Zone_impres_MI">'V2 Français'!$A$1:$I$67</definedName>
  </definedNames>
  <calcPr calcId="162913"/>
</workbook>
</file>

<file path=xl/calcChain.xml><?xml version="1.0" encoding="utf-8"?>
<calcChain xmlns="http://schemas.openxmlformats.org/spreadsheetml/2006/main">
  <c r="IZ77" i="1" l="1"/>
  <c r="IZ49" i="1"/>
  <c r="IZ41" i="1"/>
  <c r="IZ34" i="1"/>
  <c r="IZ27" i="1"/>
  <c r="IZ21" i="1"/>
  <c r="IZ11" i="1"/>
  <c r="JL52" i="1"/>
  <c r="JL53" i="1"/>
  <c r="JL54" i="1"/>
  <c r="JL55" i="1"/>
  <c r="JL56" i="1"/>
  <c r="JL57" i="1"/>
  <c r="JL58" i="1"/>
  <c r="JL51" i="1"/>
  <c r="JL47" i="1"/>
  <c r="JL44" i="1"/>
  <c r="JL45" i="1"/>
  <c r="JL43" i="1"/>
  <c r="JL37" i="1"/>
  <c r="JL38" i="1"/>
  <c r="JL36" i="1"/>
  <c r="JL30" i="1"/>
  <c r="JL31" i="1"/>
  <c r="JL32" i="1"/>
  <c r="JL29" i="1"/>
  <c r="JL24" i="1"/>
  <c r="JL25" i="1"/>
  <c r="JL23" i="1"/>
  <c r="JL14" i="1"/>
  <c r="JL15" i="1"/>
  <c r="JL16" i="1"/>
  <c r="JL17" i="1"/>
  <c r="JL18" i="1"/>
  <c r="JL19" i="1"/>
  <c r="JL13" i="1"/>
  <c r="JK70" i="1"/>
  <c r="JK71" i="1"/>
  <c r="JK72" i="1"/>
  <c r="JK73" i="1"/>
  <c r="JK74" i="1"/>
  <c r="JK69" i="1"/>
  <c r="JK52" i="1"/>
  <c r="JK53" i="1"/>
  <c r="JK54" i="1"/>
  <c r="JK55" i="1"/>
  <c r="JK56" i="1"/>
  <c r="JK57" i="1"/>
  <c r="JK58" i="1"/>
  <c r="JK59" i="1"/>
  <c r="JK51" i="1"/>
  <c r="JK47" i="1"/>
  <c r="JK44" i="1"/>
  <c r="JK45" i="1"/>
  <c r="JK43" i="1"/>
  <c r="JK37" i="1"/>
  <c r="JK38" i="1"/>
  <c r="JK36" i="1"/>
  <c r="JK30" i="1"/>
  <c r="JK31" i="1"/>
  <c r="JK32" i="1"/>
  <c r="JK29" i="1"/>
  <c r="JK24" i="1"/>
  <c r="JK25" i="1"/>
  <c r="JK23" i="1"/>
  <c r="JK14" i="1"/>
  <c r="JK15" i="1"/>
  <c r="JK16" i="1"/>
  <c r="JK17" i="1"/>
  <c r="JK18" i="1"/>
  <c r="JK19" i="1"/>
  <c r="JK13" i="1"/>
  <c r="IZ62" i="1" l="1"/>
  <c r="JL77" i="1"/>
  <c r="JK77" i="1"/>
  <c r="JK49" i="1"/>
  <c r="JL41" i="1"/>
  <c r="JK41" i="1"/>
  <c r="JL34" i="1"/>
  <c r="JK34" i="1"/>
  <c r="JL27" i="1"/>
  <c r="JK27" i="1"/>
  <c r="JL21" i="1"/>
  <c r="JK21" i="1"/>
  <c r="JL11" i="1"/>
  <c r="JK11" i="1"/>
  <c r="IY59" i="1"/>
  <c r="IY77" i="1"/>
  <c r="IY41" i="1"/>
  <c r="IY34" i="1"/>
  <c r="IY27" i="1"/>
  <c r="IY21" i="1"/>
  <c r="IY11" i="1"/>
  <c r="JK42" i="1"/>
  <c r="IY49" i="1" l="1"/>
  <c r="JL59" i="1"/>
  <c r="JL49" i="1" s="1"/>
  <c r="JL62" i="1" s="1"/>
  <c r="JK62" i="1"/>
  <c r="IY62" i="1"/>
  <c r="IX77" i="1"/>
  <c r="IX49" i="1"/>
  <c r="IX41" i="1"/>
  <c r="IX34" i="1"/>
  <c r="IX27" i="1"/>
  <c r="IX21" i="1"/>
  <c r="IX11" i="1"/>
  <c r="IX62" i="1" l="1"/>
  <c r="IW77" i="1"/>
  <c r="IW34" i="1"/>
  <c r="IW41" i="1"/>
  <c r="IW49" i="1"/>
  <c r="IW27" i="1"/>
  <c r="IW21" i="1"/>
  <c r="IW11" i="1"/>
  <c r="IW62" i="1" l="1"/>
  <c r="IV49" i="1"/>
  <c r="IV11" i="1"/>
  <c r="IV21" i="1"/>
  <c r="IV27" i="1"/>
  <c r="IV34" i="1"/>
  <c r="IV41" i="1"/>
  <c r="IV77" i="1"/>
  <c r="IV62" i="1" l="1"/>
  <c r="IU49" i="1" l="1"/>
  <c r="IU77" i="1"/>
  <c r="IU41" i="1"/>
  <c r="IU34" i="1"/>
  <c r="IU27" i="1"/>
  <c r="IU21" i="1"/>
  <c r="IU11" i="1"/>
  <c r="IU62" i="1" l="1"/>
  <c r="IT59" i="1"/>
  <c r="IT77" i="1"/>
  <c r="IT41" i="1"/>
  <c r="IT34" i="1"/>
  <c r="IT27" i="1"/>
  <c r="IT21" i="1"/>
  <c r="IT11" i="1"/>
  <c r="IT49" i="1" l="1"/>
  <c r="IT62" i="1" s="1"/>
  <c r="IS59" i="1"/>
  <c r="IS77" i="1"/>
  <c r="IS41" i="1"/>
  <c r="IS34" i="1"/>
  <c r="IS27" i="1"/>
  <c r="IS21" i="1"/>
  <c r="IS11" i="1"/>
  <c r="IS49" i="1" l="1"/>
  <c r="IS62" i="1" s="1"/>
  <c r="IR11" i="1"/>
  <c r="IR77" i="1"/>
  <c r="IR41" i="1"/>
  <c r="IR34" i="1"/>
  <c r="IR27" i="1"/>
  <c r="IR21" i="1"/>
  <c r="IR49" i="1" l="1"/>
  <c r="IR62" i="1" s="1"/>
  <c r="IQ77" i="1" l="1"/>
  <c r="IQ49" i="1"/>
  <c r="IQ41" i="1"/>
  <c r="IQ34" i="1"/>
  <c r="IQ27" i="1"/>
  <c r="IQ21" i="1"/>
  <c r="IQ11" i="1"/>
  <c r="IQ62" i="1" l="1"/>
  <c r="IP77" i="1"/>
  <c r="IP41" i="1"/>
  <c r="IP34" i="1"/>
  <c r="IP27" i="1"/>
  <c r="IP21" i="1"/>
  <c r="IP11" i="1"/>
  <c r="IP49" i="1" l="1"/>
  <c r="IP62" i="1"/>
  <c r="IO11" i="1"/>
  <c r="IO21" i="1"/>
  <c r="IO34" i="1"/>
  <c r="IO27" i="1"/>
  <c r="IO41" i="1"/>
  <c r="IO49" i="1"/>
  <c r="IO77" i="1"/>
  <c r="IO62" i="1" l="1"/>
  <c r="IN41" i="1" l="1"/>
  <c r="IN34" i="1"/>
  <c r="IN27" i="1"/>
  <c r="IN21" i="1"/>
  <c r="IN11" i="1"/>
  <c r="IN77" i="1"/>
  <c r="IM49" i="1"/>
  <c r="IM41" i="1"/>
  <c r="IM34" i="1"/>
  <c r="IM27" i="1"/>
  <c r="IM21" i="1"/>
  <c r="IM11" i="1"/>
  <c r="IM77" i="1"/>
  <c r="IM62" i="1" l="1"/>
  <c r="IN49" i="1"/>
  <c r="IN62" i="1" s="1"/>
  <c r="IL27" i="1"/>
  <c r="IL34" i="1"/>
  <c r="IL77" i="1"/>
  <c r="IL49" i="1"/>
  <c r="IL11" i="1"/>
  <c r="IL21" i="1"/>
  <c r="IL41" i="1"/>
  <c r="IL62" i="1" l="1"/>
  <c r="IK41" i="1" l="1"/>
  <c r="IK34" i="1"/>
  <c r="IK27" i="1"/>
  <c r="IK21" i="1"/>
  <c r="IK11" i="1"/>
  <c r="IK77" i="1" l="1"/>
  <c r="IK49" i="1"/>
  <c r="IK62" i="1" s="1"/>
  <c r="IJ77" i="1"/>
  <c r="IJ49" i="1"/>
  <c r="IJ41" i="1"/>
  <c r="IJ34" i="1"/>
  <c r="IJ27" i="1"/>
  <c r="IJ21" i="1"/>
  <c r="IJ11" i="1"/>
  <c r="IJ62" i="1" l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O43" i="1"/>
  <c r="HP43" i="1"/>
  <c r="HQ43" i="1"/>
  <c r="HN43" i="1" l="1"/>
  <c r="II41" i="1" l="1"/>
  <c r="II34" i="1"/>
  <c r="II27" i="1"/>
  <c r="II21" i="1"/>
  <c r="II11" i="1"/>
  <c r="IH41" i="1" l="1"/>
  <c r="IH34" i="1"/>
  <c r="IH27" i="1"/>
  <c r="IH21" i="1"/>
  <c r="IG77" i="1" l="1"/>
  <c r="IG49" i="1"/>
  <c r="IG41" i="1"/>
  <c r="IG27" i="1"/>
  <c r="IG21" i="1"/>
  <c r="IG38" i="1"/>
  <c r="IG15" i="1"/>
  <c r="IG14" i="1"/>
  <c r="IH15" i="1" l="1"/>
  <c r="IH14" i="1"/>
  <c r="IG34" i="1"/>
  <c r="IG11" i="1"/>
  <c r="IF77" i="1"/>
  <c r="IH11" i="1" l="1"/>
  <c r="IG62" i="1"/>
  <c r="IF34" i="1"/>
  <c r="IF49" i="1" l="1"/>
  <c r="IF41" i="1"/>
  <c r="IF27" i="1"/>
  <c r="IF21" i="1"/>
  <c r="IF11" i="1"/>
  <c r="IF62" i="1" l="1"/>
  <c r="IE34" i="1"/>
  <c r="IE49" i="1"/>
  <c r="IE41" i="1"/>
  <c r="IE27" i="1"/>
  <c r="IE21" i="1"/>
  <c r="IE11" i="1"/>
  <c r="IE62" i="1" l="1"/>
  <c r="ID11" i="1"/>
  <c r="ID49" i="1"/>
  <c r="ID41" i="1"/>
  <c r="ID34" i="1"/>
  <c r="ID27" i="1"/>
  <c r="IC27" i="1"/>
  <c r="ID21" i="1"/>
  <c r="IC21" i="1"/>
  <c r="ID62" i="1" l="1"/>
  <c r="IC49" i="1" l="1"/>
  <c r="IC41" i="1"/>
  <c r="IC34" i="1"/>
  <c r="IC11" i="1"/>
  <c r="IC62" i="1" l="1"/>
  <c r="IB49" i="1" l="1"/>
  <c r="IB41" i="1"/>
  <c r="IB34" i="1"/>
  <c r="IB27" i="1"/>
  <c r="IB11" i="1"/>
  <c r="HZ49" i="1" l="1"/>
  <c r="HZ41" i="1"/>
  <c r="HZ34" i="1"/>
  <c r="HZ27" i="1"/>
  <c r="HZ21" i="1"/>
  <c r="HZ11" i="1"/>
  <c r="HN59" i="1"/>
  <c r="HN56" i="1"/>
  <c r="HN47" i="1"/>
  <c r="HN44" i="1"/>
  <c r="HN38" i="1"/>
  <c r="HN37" i="1"/>
  <c r="HN36" i="1"/>
  <c r="HN30" i="1"/>
  <c r="HN31" i="1"/>
  <c r="HN29" i="1"/>
  <c r="HN23" i="1"/>
  <c r="HN18" i="1"/>
  <c r="HN17" i="1"/>
  <c r="HN16" i="1"/>
  <c r="HN14" i="1"/>
  <c r="HZ62" i="1" l="1"/>
  <c r="HY49" i="1"/>
  <c r="HY11" i="1" l="1"/>
  <c r="HN32" i="1" l="1"/>
  <c r="HN25" i="1"/>
  <c r="HM19" i="1"/>
  <c r="HM21" i="1"/>
  <c r="HM27" i="1"/>
  <c r="HY41" i="1"/>
  <c r="HY34" i="1"/>
  <c r="HY27" i="1"/>
  <c r="HY21" i="1"/>
  <c r="HY62" i="1" l="1"/>
  <c r="HX49" i="1" l="1"/>
  <c r="HX34" i="1"/>
  <c r="HX27" i="1"/>
  <c r="HX21" i="1"/>
  <c r="HX11" i="1"/>
  <c r="HW21" i="1" l="1"/>
  <c r="HW49" i="1"/>
  <c r="HW41" i="1"/>
  <c r="HW34" i="1"/>
  <c r="HW27" i="1"/>
  <c r="HW11" i="1"/>
  <c r="HW62" i="1" l="1"/>
  <c r="HU49" i="1"/>
  <c r="HT27" i="1"/>
  <c r="HS27" i="1"/>
  <c r="HR27" i="1"/>
  <c r="HQ27" i="1"/>
  <c r="HP27" i="1"/>
  <c r="HO27" i="1"/>
  <c r="HV11" i="1"/>
  <c r="HV49" i="1"/>
  <c r="HV41" i="1"/>
  <c r="HV34" i="1"/>
  <c r="HV21" i="1"/>
  <c r="HV27" i="1" l="1"/>
  <c r="HV62" i="1" s="1"/>
  <c r="HU21" i="1"/>
  <c r="HU11" i="1"/>
  <c r="HT11" i="1"/>
  <c r="HO11" i="1" l="1"/>
  <c r="HU27" i="1"/>
  <c r="HU41" i="1"/>
  <c r="HU62" i="1" l="1"/>
  <c r="HU34" i="1"/>
  <c r="HT34" i="1" l="1"/>
  <c r="HT21" i="1" l="1"/>
  <c r="HT55" i="1"/>
  <c r="HT54" i="1"/>
  <c r="HT53" i="1"/>
  <c r="HT52" i="1"/>
  <c r="HT41" i="1"/>
  <c r="HS11" i="1"/>
  <c r="HT49" i="1" l="1"/>
  <c r="HT62" i="1" s="1"/>
  <c r="HS55" i="1"/>
  <c r="HS54" i="1"/>
  <c r="HS53" i="1"/>
  <c r="HS52" i="1"/>
  <c r="HS41" i="1"/>
  <c r="HS34" i="1"/>
  <c r="HS21" i="1"/>
  <c r="HR21" i="1"/>
  <c r="HS49" i="1" l="1"/>
  <c r="HS62" i="1" s="1"/>
  <c r="HR55" i="1"/>
  <c r="HR54" i="1"/>
  <c r="HR53" i="1"/>
  <c r="HR52" i="1"/>
  <c r="HR51" i="1"/>
  <c r="HR11" i="1"/>
  <c r="HR34" i="1"/>
  <c r="HN42" i="1"/>
  <c r="HR49" i="1" l="1"/>
  <c r="HD15" i="1"/>
  <c r="HN15" i="1" s="1"/>
  <c r="HQ55" i="1" l="1"/>
  <c r="HQ54" i="1"/>
  <c r="HQ53" i="1"/>
  <c r="HQ52" i="1"/>
  <c r="HQ51" i="1"/>
  <c r="HQ41" i="1"/>
  <c r="HP41" i="1"/>
  <c r="HQ34" i="1"/>
  <c r="HP34" i="1"/>
  <c r="HQ21" i="1"/>
  <c r="HP21" i="1"/>
  <c r="HQ49" i="1" l="1"/>
  <c r="HQ11" i="1" l="1"/>
  <c r="HQ62" i="1" l="1"/>
  <c r="HF58" i="1"/>
  <c r="HE58" i="1"/>
  <c r="HD58" i="1"/>
  <c r="HN58" i="1" s="1"/>
  <c r="HP55" i="1" l="1"/>
  <c r="HP54" i="1"/>
  <c r="HP53" i="1"/>
  <c r="HP52" i="1"/>
  <c r="HP51" i="1"/>
  <c r="HP49" i="1" l="1"/>
  <c r="HP11" i="1"/>
  <c r="HP62" i="1" l="1"/>
  <c r="HH52" i="1" l="1"/>
  <c r="HG52" i="1"/>
  <c r="HF52" i="1"/>
  <c r="HB34" i="1" l="1"/>
  <c r="HC34" i="1"/>
  <c r="HD34" i="1"/>
  <c r="HE34" i="1"/>
  <c r="HF34" i="1"/>
  <c r="HG34" i="1"/>
  <c r="HH34" i="1"/>
  <c r="HI34" i="1"/>
  <c r="HJ34" i="1"/>
  <c r="HL34" i="1"/>
  <c r="HM34" i="1"/>
  <c r="HN34" i="1" l="1"/>
  <c r="HO41" i="1"/>
  <c r="HB21" i="1"/>
  <c r="HB27" i="1" l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F49" i="1" s="1"/>
  <c r="HG57" i="1"/>
  <c r="HH57" i="1"/>
  <c r="HI57" i="1"/>
  <c r="HJ57" i="1"/>
  <c r="HL57" i="1"/>
  <c r="HM57" i="1"/>
  <c r="HC55" i="1"/>
  <c r="HD55" i="1"/>
  <c r="HE55" i="1"/>
  <c r="HF55" i="1"/>
  <c r="HG55" i="1"/>
  <c r="HH55" i="1"/>
  <c r="HI55" i="1"/>
  <c r="HJ55" i="1"/>
  <c r="HK55" i="1"/>
  <c r="HL55" i="1"/>
  <c r="HM55" i="1"/>
  <c r="HO55" i="1"/>
  <c r="HC54" i="1"/>
  <c r="HD54" i="1"/>
  <c r="HE54" i="1"/>
  <c r="HF54" i="1"/>
  <c r="HG54" i="1"/>
  <c r="HH54" i="1"/>
  <c r="HI54" i="1"/>
  <c r="HJ54" i="1"/>
  <c r="HK54" i="1"/>
  <c r="HL54" i="1"/>
  <c r="HM54" i="1"/>
  <c r="HO54" i="1"/>
  <c r="HC53" i="1"/>
  <c r="HD53" i="1"/>
  <c r="HE53" i="1"/>
  <c r="HF53" i="1"/>
  <c r="HG53" i="1"/>
  <c r="HH53" i="1"/>
  <c r="HI53" i="1"/>
  <c r="HJ53" i="1"/>
  <c r="HK53" i="1"/>
  <c r="HL53" i="1"/>
  <c r="HM53" i="1"/>
  <c r="HO53" i="1"/>
  <c r="HB53" i="1"/>
  <c r="HB54" i="1"/>
  <c r="HB55" i="1"/>
  <c r="HB52" i="1"/>
  <c r="HN52" i="1" s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O51" i="1"/>
  <c r="HO34" i="1"/>
  <c r="HO21" i="1"/>
  <c r="HC49" i="1" l="1"/>
  <c r="HN55" i="1"/>
  <c r="HK49" i="1"/>
  <c r="HN54" i="1"/>
  <c r="HN51" i="1"/>
  <c r="HN53" i="1"/>
  <c r="HN57" i="1"/>
  <c r="HO49" i="1"/>
  <c r="HM49" i="1"/>
  <c r="HE49" i="1"/>
  <c r="HD49" i="1"/>
  <c r="HO62" i="1" l="1"/>
  <c r="HM74" i="1"/>
  <c r="HM11" i="1"/>
  <c r="HM41" i="1"/>
  <c r="HM62" i="1" l="1"/>
  <c r="HL19" i="1"/>
  <c r="HL11" i="1" s="1"/>
  <c r="HL49" i="1"/>
  <c r="HL74" i="1"/>
  <c r="HB77" i="1" l="1"/>
  <c r="HL41" i="1" l="1"/>
  <c r="HL27" i="1"/>
  <c r="HL21" i="1"/>
  <c r="HL62" i="1" l="1"/>
  <c r="HK74" i="1" l="1"/>
  <c r="HK19" i="1" l="1"/>
  <c r="HK45" i="1"/>
  <c r="HK13" i="1" l="1"/>
  <c r="HK11" i="1" s="1"/>
  <c r="HK41" i="1"/>
  <c r="HK27" i="1"/>
  <c r="HK21" i="1"/>
  <c r="HK62" i="1" l="1"/>
  <c r="HJ74" i="1"/>
  <c r="HJ19" i="1"/>
  <c r="HJ49" i="1"/>
  <c r="HJ45" i="1"/>
  <c r="HJ41" i="1" l="1"/>
  <c r="HJ27" i="1"/>
  <c r="HJ21" i="1"/>
  <c r="HJ77" i="1" l="1"/>
  <c r="HJ11" i="1"/>
  <c r="HJ62" i="1" s="1"/>
  <c r="HI74" i="1"/>
  <c r="HI77" i="1" s="1"/>
  <c r="HI49" i="1"/>
  <c r="HI45" i="1"/>
  <c r="HI41" i="1" s="1"/>
  <c r="HI19" i="1"/>
  <c r="HI11" i="1" s="1"/>
  <c r="HI27" i="1"/>
  <c r="HI21" i="1"/>
  <c r="HI62" i="1" l="1"/>
  <c r="HK77" i="1"/>
  <c r="HL77" i="1"/>
  <c r="HG13" i="1"/>
  <c r="HH74" i="1"/>
  <c r="HH77" i="1" s="1"/>
  <c r="HH19" i="1" l="1"/>
  <c r="HH11" i="1" s="1"/>
  <c r="HH49" i="1"/>
  <c r="HH41" i="1"/>
  <c r="HH27" i="1"/>
  <c r="HH21" i="1"/>
  <c r="HM77" i="1" l="1"/>
  <c r="HH62" i="1"/>
  <c r="HG74" i="1"/>
  <c r="HG77" i="1" s="1"/>
  <c r="HG19" i="1"/>
  <c r="HG11" i="1" s="1"/>
  <c r="HG49" i="1"/>
  <c r="HG41" i="1"/>
  <c r="HG27" i="1"/>
  <c r="HG21" i="1"/>
  <c r="GY41" i="1"/>
  <c r="GZ41" i="1"/>
  <c r="HA41" i="1"/>
  <c r="GY34" i="1"/>
  <c r="GZ34" i="1"/>
  <c r="HA34" i="1"/>
  <c r="HG62" i="1" l="1"/>
  <c r="HF74" i="1"/>
  <c r="HF77" i="1" s="1"/>
  <c r="HB41" i="1"/>
  <c r="HC41" i="1"/>
  <c r="HD41" i="1"/>
  <c r="HF41" i="1"/>
  <c r="HC27" i="1"/>
  <c r="HD27" i="1"/>
  <c r="HE27" i="1"/>
  <c r="HF27" i="1"/>
  <c r="HB11" i="1"/>
  <c r="HC11" i="1"/>
  <c r="HD11" i="1"/>
  <c r="HD21" i="1"/>
  <c r="HE21" i="1"/>
  <c r="HF21" i="1"/>
  <c r="HF13" i="1"/>
  <c r="HN13" i="1" s="1"/>
  <c r="HN27" i="1" l="1"/>
  <c r="HF11" i="1"/>
  <c r="HF62" i="1" s="1"/>
  <c r="HE45" i="1" l="1"/>
  <c r="HN45" i="1" s="1"/>
  <c r="HE19" i="1"/>
  <c r="HN19" i="1" s="1"/>
  <c r="HE74" i="1"/>
  <c r="HE77" i="1" s="1"/>
  <c r="HB49" i="1"/>
  <c r="HN49" i="1" s="1"/>
  <c r="GR27" i="1"/>
  <c r="GS21" i="1"/>
  <c r="GT21" i="1"/>
  <c r="GU21" i="1"/>
  <c r="GV21" i="1"/>
  <c r="GW21" i="1"/>
  <c r="GX21" i="1"/>
  <c r="GY21" i="1"/>
  <c r="GZ21" i="1"/>
  <c r="GR21" i="1"/>
  <c r="GV27" i="1"/>
  <c r="GX27" i="1"/>
  <c r="GY27" i="1"/>
  <c r="GP27" i="1"/>
  <c r="GQ27" i="1"/>
  <c r="GS27" i="1"/>
  <c r="GT27" i="1"/>
  <c r="GU27" i="1"/>
  <c r="GW27" i="1"/>
  <c r="GZ27" i="1"/>
  <c r="HA27" i="1"/>
  <c r="HD74" i="1"/>
  <c r="HD77" i="1" s="1"/>
  <c r="GR49" i="1"/>
  <c r="GS49" i="1"/>
  <c r="GT49" i="1"/>
  <c r="GV49" i="1"/>
  <c r="GZ49" i="1"/>
  <c r="GR41" i="1"/>
  <c r="GS41" i="1"/>
  <c r="GT41" i="1"/>
  <c r="GU41" i="1"/>
  <c r="GV41" i="1"/>
  <c r="GW41" i="1"/>
  <c r="GX41" i="1"/>
  <c r="GR34" i="1"/>
  <c r="GS34" i="1"/>
  <c r="GT34" i="1"/>
  <c r="GU34" i="1"/>
  <c r="GV34" i="1"/>
  <c r="GW34" i="1"/>
  <c r="GX34" i="1"/>
  <c r="GQ21" i="1"/>
  <c r="GR11" i="1"/>
  <c r="GS11" i="1"/>
  <c r="GT11" i="1"/>
  <c r="GU11" i="1"/>
  <c r="GV11" i="1"/>
  <c r="GW11" i="1"/>
  <c r="GX11" i="1"/>
  <c r="GY11" i="1"/>
  <c r="GZ11" i="1"/>
  <c r="HA11" i="1"/>
  <c r="GQ11" i="1"/>
  <c r="HC74" i="1"/>
  <c r="HC24" i="1"/>
  <c r="HN24" i="1" s="1"/>
  <c r="GO58" i="1"/>
  <c r="GO56" i="1"/>
  <c r="GO47" i="1"/>
  <c r="GO45" i="1"/>
  <c r="GO44" i="1"/>
  <c r="GO38" i="1"/>
  <c r="GO37" i="1"/>
  <c r="GO36" i="1"/>
  <c r="GO30" i="1"/>
  <c r="GO31" i="1"/>
  <c r="GO29" i="1"/>
  <c r="GO24" i="1"/>
  <c r="GO23" i="1"/>
  <c r="GO17" i="1"/>
  <c r="GO14" i="1"/>
  <c r="GO15" i="1"/>
  <c r="GO16" i="1"/>
  <c r="GO18" i="1"/>
  <c r="GO19" i="1"/>
  <c r="GO13" i="1"/>
  <c r="HA74" i="1"/>
  <c r="HA77" i="1" s="1"/>
  <c r="HA59" i="1"/>
  <c r="HA49" i="1" s="1"/>
  <c r="HA24" i="1"/>
  <c r="GZ74" i="1"/>
  <c r="GZ77" i="1" s="1"/>
  <c r="GM74" i="1"/>
  <c r="GO70" i="1"/>
  <c r="GY74" i="1"/>
  <c r="GY77" i="1" s="1"/>
  <c r="GY59" i="1"/>
  <c r="GY49" i="1" s="1"/>
  <c r="GX59" i="1"/>
  <c r="GX49" i="1" s="1"/>
  <c r="GX74" i="1"/>
  <c r="GX77" i="1" s="1"/>
  <c r="GW74" i="1"/>
  <c r="GW77" i="1" s="1"/>
  <c r="GW59" i="1"/>
  <c r="GW49" i="1" s="1"/>
  <c r="GP34" i="1"/>
  <c r="GQ34" i="1"/>
  <c r="GP11" i="1"/>
  <c r="GJ21" i="1"/>
  <c r="GK21" i="1"/>
  <c r="GL21" i="1"/>
  <c r="GM21" i="1"/>
  <c r="GN21" i="1"/>
  <c r="GI21" i="1"/>
  <c r="GV74" i="1"/>
  <c r="GV77" i="1" s="1"/>
  <c r="GU59" i="1"/>
  <c r="GU49" i="1" s="1"/>
  <c r="GU74" i="1"/>
  <c r="GU77" i="1" s="1"/>
  <c r="GT74" i="1"/>
  <c r="GT77" i="1" s="1"/>
  <c r="GS74" i="1"/>
  <c r="GS77" i="1" s="1"/>
  <c r="GR74" i="1"/>
  <c r="GR77" i="1" s="1"/>
  <c r="GQ74" i="1"/>
  <c r="GQ77" i="1" s="1"/>
  <c r="GQ59" i="1"/>
  <c r="GQ49" i="1" s="1"/>
  <c r="GQ41" i="1"/>
  <c r="GP74" i="1"/>
  <c r="GP59" i="1"/>
  <c r="GP49" i="1" s="1"/>
  <c r="GP41" i="1"/>
  <c r="GP21" i="1"/>
  <c r="GD77" i="1"/>
  <c r="GD41" i="1"/>
  <c r="GE41" i="1"/>
  <c r="GF41" i="1"/>
  <c r="GG41" i="1"/>
  <c r="GH41" i="1"/>
  <c r="GI41" i="1"/>
  <c r="GJ41" i="1"/>
  <c r="GK41" i="1"/>
  <c r="GL41" i="1"/>
  <c r="GM41" i="1"/>
  <c r="GN41" i="1"/>
  <c r="GD34" i="1"/>
  <c r="GE34" i="1"/>
  <c r="GF34" i="1"/>
  <c r="GG34" i="1"/>
  <c r="GH34" i="1"/>
  <c r="GI34" i="1"/>
  <c r="GJ34" i="1"/>
  <c r="GK34" i="1"/>
  <c r="GL34" i="1"/>
  <c r="GM34" i="1"/>
  <c r="GN34" i="1"/>
  <c r="GN74" i="1"/>
  <c r="GN59" i="1"/>
  <c r="GN49" i="1" s="1"/>
  <c r="GN11" i="1"/>
  <c r="GN27" i="1"/>
  <c r="GB70" i="1"/>
  <c r="GB69" i="1"/>
  <c r="GB58" i="1"/>
  <c r="GB56" i="1"/>
  <c r="GB47" i="1"/>
  <c r="GB45" i="1"/>
  <c r="GB44" i="1"/>
  <c r="GB37" i="1"/>
  <c r="GB34" i="1" s="1"/>
  <c r="GB31" i="1"/>
  <c r="GB29" i="1"/>
  <c r="GB24" i="1"/>
  <c r="GB21" i="1" s="1"/>
  <c r="GB19" i="1"/>
  <c r="GB18" i="1"/>
  <c r="GB17" i="1"/>
  <c r="GB16" i="1"/>
  <c r="GB15" i="1"/>
  <c r="GB14" i="1"/>
  <c r="GB13" i="1"/>
  <c r="GM59" i="1"/>
  <c r="GM49" i="1" s="1"/>
  <c r="GM27" i="1"/>
  <c r="GC41" i="1"/>
  <c r="GC34" i="1"/>
  <c r="GC27" i="1"/>
  <c r="GD27" i="1"/>
  <c r="GE27" i="1"/>
  <c r="GF27" i="1"/>
  <c r="GG27" i="1"/>
  <c r="GH27" i="1"/>
  <c r="GI27" i="1"/>
  <c r="GJ27" i="1"/>
  <c r="GK27" i="1"/>
  <c r="GL27" i="1"/>
  <c r="GC21" i="1"/>
  <c r="GD21" i="1"/>
  <c r="GE21" i="1"/>
  <c r="GF21" i="1"/>
  <c r="GG21" i="1"/>
  <c r="GH21" i="1"/>
  <c r="GC11" i="1"/>
  <c r="GD11" i="1"/>
  <c r="GE11" i="1"/>
  <c r="GF11" i="1"/>
  <c r="GG11" i="1"/>
  <c r="GH11" i="1"/>
  <c r="GI11" i="1"/>
  <c r="GJ11" i="1"/>
  <c r="GK11" i="1"/>
  <c r="GL11" i="1"/>
  <c r="GM11" i="1"/>
  <c r="GL74" i="1"/>
  <c r="GL59" i="1"/>
  <c r="GL49" i="1" s="1"/>
  <c r="GK74" i="1"/>
  <c r="GK59" i="1"/>
  <c r="GK49" i="1" s="1"/>
  <c r="GJ74" i="1"/>
  <c r="GJ59" i="1"/>
  <c r="GJ49" i="1" s="1"/>
  <c r="GI74" i="1"/>
  <c r="GI59" i="1"/>
  <c r="GI49" i="1" s="1"/>
  <c r="GH74" i="1"/>
  <c r="GH59" i="1"/>
  <c r="GH49" i="1" s="1"/>
  <c r="GG74" i="1"/>
  <c r="GG59" i="1"/>
  <c r="GG49" i="1" s="1"/>
  <c r="GF74" i="1"/>
  <c r="GF59" i="1"/>
  <c r="GF49" i="1" s="1"/>
  <c r="GE74" i="1"/>
  <c r="GE59" i="1"/>
  <c r="GE49" i="1" s="1"/>
  <c r="GD59" i="1"/>
  <c r="GD49" i="1" s="1"/>
  <c r="GC74" i="1"/>
  <c r="GC59" i="1"/>
  <c r="GA74" i="1"/>
  <c r="GA77" i="1" s="1"/>
  <c r="GA59" i="1"/>
  <c r="GA49" i="1" s="1"/>
  <c r="GA34" i="1"/>
  <c r="GA41" i="1"/>
  <c r="GA27" i="1"/>
  <c r="GA21" i="1"/>
  <c r="GA11" i="1"/>
  <c r="FO70" i="1"/>
  <c r="FO69" i="1"/>
  <c r="FO58" i="1"/>
  <c r="FO56" i="1"/>
  <c r="FO47" i="1"/>
  <c r="FO45" i="1"/>
  <c r="FO41" i="1" s="1"/>
  <c r="FO37" i="1"/>
  <c r="FO34" i="1" s="1"/>
  <c r="FO31" i="1"/>
  <c r="FO29" i="1"/>
  <c r="FO24" i="1"/>
  <c r="FO21" i="1" s="1"/>
  <c r="FO19" i="1"/>
  <c r="FO18" i="1"/>
  <c r="FO17" i="1"/>
  <c r="FO16" i="1"/>
  <c r="FO15" i="1"/>
  <c r="FO14" i="1"/>
  <c r="FO13" i="1"/>
  <c r="FZ59" i="1"/>
  <c r="FZ49" i="1" s="1"/>
  <c r="FZ77" i="1"/>
  <c r="FZ41" i="1"/>
  <c r="FZ34" i="1"/>
  <c r="FZ27" i="1"/>
  <c r="FZ21" i="1"/>
  <c r="FZ11" i="1"/>
  <c r="FY74" i="1"/>
  <c r="FY77" i="1" s="1"/>
  <c r="FY59" i="1"/>
  <c r="FY49" i="1" s="1"/>
  <c r="FY41" i="1"/>
  <c r="FY34" i="1"/>
  <c r="FY27" i="1"/>
  <c r="FY21" i="1"/>
  <c r="FY11" i="1"/>
  <c r="FX74" i="1"/>
  <c r="FX77" i="1" s="1"/>
  <c r="FX59" i="1"/>
  <c r="FX49" i="1" s="1"/>
  <c r="FS49" i="1"/>
  <c r="FX41" i="1"/>
  <c r="FX34" i="1"/>
  <c r="FX27" i="1"/>
  <c r="FX21" i="1"/>
  <c r="FX11" i="1"/>
  <c r="FW59" i="1"/>
  <c r="FW49" i="1" s="1"/>
  <c r="FW11" i="1"/>
  <c r="FW21" i="1"/>
  <c r="FW27" i="1"/>
  <c r="FW34" i="1"/>
  <c r="FW41" i="1"/>
  <c r="FW77" i="1"/>
  <c r="FV74" i="1"/>
  <c r="FV77" i="1" s="1"/>
  <c r="FV59" i="1"/>
  <c r="FV49" i="1" s="1"/>
  <c r="FV41" i="1"/>
  <c r="FV34" i="1"/>
  <c r="FV27" i="1"/>
  <c r="FV21" i="1"/>
  <c r="FV11" i="1"/>
  <c r="FU74" i="1"/>
  <c r="FU77" i="1" s="1"/>
  <c r="FU59" i="1"/>
  <c r="FU49" i="1" s="1"/>
  <c r="FU34" i="1"/>
  <c r="FU41" i="1"/>
  <c r="FU27" i="1"/>
  <c r="FU21" i="1"/>
  <c r="FU11" i="1"/>
  <c r="FT59" i="1"/>
  <c r="FT49" i="1" s="1"/>
  <c r="FT74" i="1"/>
  <c r="FT77" i="1" s="1"/>
  <c r="FP27" i="1"/>
  <c r="FQ27" i="1"/>
  <c r="FR27" i="1"/>
  <c r="FS27" i="1"/>
  <c r="FT27" i="1"/>
  <c r="FT41" i="1"/>
  <c r="FT34" i="1"/>
  <c r="FT21" i="1"/>
  <c r="FT11" i="1"/>
  <c r="FS74" i="1"/>
  <c r="FS34" i="1"/>
  <c r="FS11" i="1"/>
  <c r="FS21" i="1"/>
  <c r="FS41" i="1"/>
  <c r="FR77" i="1"/>
  <c r="FR59" i="1"/>
  <c r="FR49" i="1" s="1"/>
  <c r="FR41" i="1"/>
  <c r="FR34" i="1"/>
  <c r="FR21" i="1"/>
  <c r="FR11" i="1"/>
  <c r="FQ74" i="1"/>
  <c r="FQ59" i="1"/>
  <c r="FQ49" i="1" s="1"/>
  <c r="FQ11" i="1"/>
  <c r="FQ21" i="1"/>
  <c r="FQ34" i="1"/>
  <c r="FQ41" i="1"/>
  <c r="FP74" i="1"/>
  <c r="FP59" i="1"/>
  <c r="FP49" i="1" s="1"/>
  <c r="FP41" i="1"/>
  <c r="FP34" i="1"/>
  <c r="FP21" i="1"/>
  <c r="FP11" i="1"/>
  <c r="FN74" i="1"/>
  <c r="FN77" i="1" s="1"/>
  <c r="FN59" i="1"/>
  <c r="FN49" i="1" s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C49" i="1"/>
  <c r="FB70" i="1"/>
  <c r="FB69" i="1"/>
  <c r="FB58" i="1"/>
  <c r="FB56" i="1"/>
  <c r="FB47" i="1"/>
  <c r="FB45" i="1"/>
  <c r="FB41" i="1" s="1"/>
  <c r="FB37" i="1"/>
  <c r="FB34" i="1" s="1"/>
  <c r="FB31" i="1"/>
  <c r="FB27" i="1" s="1"/>
  <c r="FB24" i="1"/>
  <c r="FB21" i="1" s="1"/>
  <c r="FB19" i="1"/>
  <c r="FB18" i="1"/>
  <c r="FB17" i="1"/>
  <c r="FB15" i="1"/>
  <c r="FB13" i="1"/>
  <c r="FM74" i="1"/>
  <c r="FM77" i="1" s="1"/>
  <c r="FM59" i="1"/>
  <c r="FM49" i="1" s="1"/>
  <c r="FL74" i="1"/>
  <c r="FL77" i="1" s="1"/>
  <c r="FL59" i="1"/>
  <c r="FL49" i="1" s="1"/>
  <c r="FC74" i="1"/>
  <c r="FC77" i="1" s="1"/>
  <c r="FD74" i="1"/>
  <c r="FD77" i="1" s="1"/>
  <c r="FE74" i="1"/>
  <c r="FE77" i="1" s="1"/>
  <c r="FF74" i="1"/>
  <c r="FF77" i="1" s="1"/>
  <c r="FG74" i="1"/>
  <c r="FG77" i="1" s="1"/>
  <c r="FH74" i="1"/>
  <c r="FH77" i="1" s="1"/>
  <c r="FI74" i="1"/>
  <c r="FI77" i="1" s="1"/>
  <c r="FJ74" i="1"/>
  <c r="FJ77" i="1" s="1"/>
  <c r="FK74" i="1"/>
  <c r="FK77" i="1" s="1"/>
  <c r="FK59" i="1"/>
  <c r="FK49" i="1" s="1"/>
  <c r="FJ59" i="1"/>
  <c r="FJ49" i="1" s="1"/>
  <c r="FI59" i="1"/>
  <c r="FI49" i="1" s="1"/>
  <c r="FH59" i="1"/>
  <c r="FH49" i="1" s="1"/>
  <c r="FG59" i="1"/>
  <c r="FG49" i="1" s="1"/>
  <c r="FF59" i="1"/>
  <c r="FF49" i="1" s="1"/>
  <c r="ET11" i="1"/>
  <c r="EU11" i="1"/>
  <c r="EV11" i="1"/>
  <c r="EW11" i="1"/>
  <c r="EX11" i="1"/>
  <c r="EY11" i="1"/>
  <c r="EZ11" i="1"/>
  <c r="FA11" i="1"/>
  <c r="FE59" i="1"/>
  <c r="FE49" i="1" s="1"/>
  <c r="FD59" i="1"/>
  <c r="FD49" i="1" s="1"/>
  <c r="ES77" i="1"/>
  <c r="ES49" i="1"/>
  <c r="EQ41" i="1"/>
  <c r="ER41" i="1"/>
  <c r="ES41" i="1"/>
  <c r="ET41" i="1"/>
  <c r="EU41" i="1"/>
  <c r="EV41" i="1"/>
  <c r="EW41" i="1"/>
  <c r="EX41" i="1"/>
  <c r="EY41" i="1"/>
  <c r="EZ41" i="1"/>
  <c r="FA41" i="1"/>
  <c r="EQ34" i="1"/>
  <c r="ER34" i="1"/>
  <c r="ES34" i="1"/>
  <c r="ET34" i="1"/>
  <c r="EU34" i="1"/>
  <c r="EV34" i="1"/>
  <c r="EW34" i="1"/>
  <c r="EX34" i="1"/>
  <c r="EY34" i="1"/>
  <c r="EZ34" i="1"/>
  <c r="FA34" i="1"/>
  <c r="EP34" i="1"/>
  <c r="EQ21" i="1"/>
  <c r="ER21" i="1"/>
  <c r="ES21" i="1"/>
  <c r="ET21" i="1"/>
  <c r="EU21" i="1"/>
  <c r="EV21" i="1"/>
  <c r="EW21" i="1"/>
  <c r="EX21" i="1"/>
  <c r="EY21" i="1"/>
  <c r="EZ21" i="1"/>
  <c r="FA21" i="1"/>
  <c r="EQ11" i="1"/>
  <c r="ER11" i="1"/>
  <c r="FB71" i="1"/>
  <c r="EO13" i="1"/>
  <c r="EO16" i="1"/>
  <c r="EO17" i="1"/>
  <c r="FA74" i="1"/>
  <c r="FA77" i="1" s="1"/>
  <c r="FA59" i="1"/>
  <c r="FA49" i="1" s="1"/>
  <c r="FA27" i="1"/>
  <c r="EO69" i="1"/>
  <c r="EO58" i="1"/>
  <c r="EO56" i="1"/>
  <c r="EO47" i="1"/>
  <c r="EO45" i="1"/>
  <c r="EO41" i="1" s="1"/>
  <c r="EO37" i="1"/>
  <c r="EO34" i="1" s="1"/>
  <c r="EO24" i="1"/>
  <c r="EO21" i="1" s="1"/>
  <c r="EO19" i="1"/>
  <c r="EO18" i="1"/>
  <c r="EZ74" i="1"/>
  <c r="EZ77" i="1" s="1"/>
  <c r="EZ59" i="1"/>
  <c r="EZ49" i="1" s="1"/>
  <c r="EP11" i="1"/>
  <c r="EP21" i="1"/>
  <c r="EZ27" i="1"/>
  <c r="EP41" i="1"/>
  <c r="EY74" i="1"/>
  <c r="EY77" i="1" s="1"/>
  <c r="EY59" i="1"/>
  <c r="EY49" i="1" s="1"/>
  <c r="EY27" i="1"/>
  <c r="EX74" i="1"/>
  <c r="EX77" i="1" s="1"/>
  <c r="EX59" i="1"/>
  <c r="EX49" i="1" s="1"/>
  <c r="EX27" i="1"/>
  <c r="EW74" i="1"/>
  <c r="EW77" i="1" s="1"/>
  <c r="EW59" i="1"/>
  <c r="EW49" i="1" s="1"/>
  <c r="EV74" i="1"/>
  <c r="EV77" i="1" s="1"/>
  <c r="EV59" i="1"/>
  <c r="EV49" i="1" s="1"/>
  <c r="EU74" i="1"/>
  <c r="EU77" i="1" s="1"/>
  <c r="EU59" i="1"/>
  <c r="EU49" i="1" s="1"/>
  <c r="ET74" i="1"/>
  <c r="ET77" i="1" s="1"/>
  <c r="ET59" i="1"/>
  <c r="ET49" i="1" s="1"/>
  <c r="ES16" i="1"/>
  <c r="ES11" i="1" s="1"/>
  <c r="ES62" i="1" s="1"/>
  <c r="EO73" i="1"/>
  <c r="FB73" i="1" s="1"/>
  <c r="EO52" i="1"/>
  <c r="FB52" i="1" s="1"/>
  <c r="EO53" i="1"/>
  <c r="FB53" i="1" s="1"/>
  <c r="EO54" i="1"/>
  <c r="FB54" i="1" s="1"/>
  <c r="EO55" i="1"/>
  <c r="FB55" i="1" s="1"/>
  <c r="ER74" i="1"/>
  <c r="ER77" i="1" s="1"/>
  <c r="ER59" i="1"/>
  <c r="ER49" i="1" s="1"/>
  <c r="EQ74" i="1"/>
  <c r="EQ77" i="1" s="1"/>
  <c r="EQ59" i="1"/>
  <c r="EQ49" i="1" s="1"/>
  <c r="EP74" i="1"/>
  <c r="EP77" i="1" s="1"/>
  <c r="EP59" i="1"/>
  <c r="EN74" i="1"/>
  <c r="EN77" i="1" s="1"/>
  <c r="EN59" i="1"/>
  <c r="EN49" i="1" s="1"/>
  <c r="EN41" i="1"/>
  <c r="EN34" i="1"/>
  <c r="EN21" i="1"/>
  <c r="EN11" i="1"/>
  <c r="EB70" i="1"/>
  <c r="EB47" i="1"/>
  <c r="EB37" i="1"/>
  <c r="EB34" i="1" s="1"/>
  <c r="EB24" i="1"/>
  <c r="EB21" i="1" s="1"/>
  <c r="EB17" i="1"/>
  <c r="EB16" i="1"/>
  <c r="EB15" i="1"/>
  <c r="EB14" i="1"/>
  <c r="EB13" i="1"/>
  <c r="EM11" i="1"/>
  <c r="EC11" i="1"/>
  <c r="ED11" i="1"/>
  <c r="EE11" i="1"/>
  <c r="EF11" i="1"/>
  <c r="EG11" i="1"/>
  <c r="EH11" i="1"/>
  <c r="EI11" i="1"/>
  <c r="EJ11" i="1"/>
  <c r="EK11" i="1"/>
  <c r="EL11" i="1"/>
  <c r="EM74" i="1"/>
  <c r="EM77" i="1" s="1"/>
  <c r="EM59" i="1"/>
  <c r="EM49" i="1" s="1"/>
  <c r="EM21" i="1"/>
  <c r="EM34" i="1"/>
  <c r="EM41" i="1"/>
  <c r="EL74" i="1"/>
  <c r="EL77" i="1" s="1"/>
  <c r="EC77" i="1"/>
  <c r="EL59" i="1"/>
  <c r="EL49" i="1" s="1"/>
  <c r="EL41" i="1"/>
  <c r="EL34" i="1"/>
  <c r="EL21" i="1"/>
  <c r="EC21" i="1"/>
  <c r="ED21" i="1"/>
  <c r="EE21" i="1"/>
  <c r="EG21" i="1"/>
  <c r="EH21" i="1"/>
  <c r="EI21" i="1"/>
  <c r="EJ21" i="1"/>
  <c r="EK21" i="1"/>
  <c r="EC34" i="1"/>
  <c r="ED34" i="1"/>
  <c r="EE34" i="1"/>
  <c r="EF34" i="1"/>
  <c r="EG34" i="1"/>
  <c r="EH34" i="1"/>
  <c r="EI34" i="1"/>
  <c r="EJ34" i="1"/>
  <c r="EK34" i="1"/>
  <c r="EC41" i="1"/>
  <c r="ED41" i="1"/>
  <c r="EE41" i="1"/>
  <c r="EF41" i="1"/>
  <c r="EG41" i="1"/>
  <c r="EH41" i="1"/>
  <c r="EI41" i="1"/>
  <c r="EJ41" i="1"/>
  <c r="EK41" i="1"/>
  <c r="EC49" i="1"/>
  <c r="EK74" i="1"/>
  <c r="EK77" i="1" s="1"/>
  <c r="EK59" i="1"/>
  <c r="EK49" i="1" s="1"/>
  <c r="EJ74" i="1"/>
  <c r="EJ77" i="1" s="1"/>
  <c r="EJ59" i="1"/>
  <c r="EJ49" i="1" s="1"/>
  <c r="EI74" i="1"/>
  <c r="EI77" i="1" s="1"/>
  <c r="EI59" i="1"/>
  <c r="EI49" i="1" s="1"/>
  <c r="EH74" i="1"/>
  <c r="EH77" i="1" s="1"/>
  <c r="EH59" i="1"/>
  <c r="EH49" i="1" s="1"/>
  <c r="EG74" i="1"/>
  <c r="EG77" i="1" s="1"/>
  <c r="EG59" i="1"/>
  <c r="EG49" i="1" s="1"/>
  <c r="EF74" i="1"/>
  <c r="EF77" i="1" s="1"/>
  <c r="EF59" i="1"/>
  <c r="EF49" i="1" s="1"/>
  <c r="EE74" i="1"/>
  <c r="EE77" i="1" s="1"/>
  <c r="EE59" i="1"/>
  <c r="EE49" i="1" s="1"/>
  <c r="ED74" i="1"/>
  <c r="ED77" i="1" s="1"/>
  <c r="ED59" i="1"/>
  <c r="ED49" i="1" s="1"/>
  <c r="EA74" i="1"/>
  <c r="EA69" i="1"/>
  <c r="EA11" i="1"/>
  <c r="EA21" i="1"/>
  <c r="EA34" i="1"/>
  <c r="EA41" i="1"/>
  <c r="EA49" i="1"/>
  <c r="DO58" i="1"/>
  <c r="DO56" i="1"/>
  <c r="DO47" i="1"/>
  <c r="DO45" i="1"/>
  <c r="DO41" i="1" s="1"/>
  <c r="DO37" i="1"/>
  <c r="DO34" i="1" s="1"/>
  <c r="DO18" i="1"/>
  <c r="DO17" i="1"/>
  <c r="DO16" i="1"/>
  <c r="DO13" i="1"/>
  <c r="DO24" i="1"/>
  <c r="DZ69" i="1"/>
  <c r="DZ74" i="1" s="1"/>
  <c r="DZ21" i="1"/>
  <c r="DZ34" i="1"/>
  <c r="DZ18" i="1"/>
  <c r="EB18" i="1" s="1"/>
  <c r="DZ59" i="1"/>
  <c r="DZ45" i="1"/>
  <c r="DZ41" i="1" s="1"/>
  <c r="DZ58" i="1"/>
  <c r="EB58" i="1" s="1"/>
  <c r="DZ56" i="1"/>
  <c r="EB56" i="1" s="1"/>
  <c r="DZ19" i="1"/>
  <c r="DY74" i="1"/>
  <c r="DY77" i="1" s="1"/>
  <c r="DY59" i="1"/>
  <c r="DY49" i="1" s="1"/>
  <c r="DY41" i="1"/>
  <c r="DY34" i="1"/>
  <c r="DY21" i="1"/>
  <c r="DY11" i="1"/>
  <c r="DO69" i="1"/>
  <c r="DX74" i="1"/>
  <c r="DX77" i="1" s="1"/>
  <c r="DX59" i="1"/>
  <c r="DX49" i="1" s="1"/>
  <c r="DX19" i="1"/>
  <c r="DX11" i="1" s="1"/>
  <c r="DX41" i="1"/>
  <c r="DX34" i="1"/>
  <c r="DX21" i="1"/>
  <c r="DW74" i="1"/>
  <c r="DW77" i="1" s="1"/>
  <c r="DW59" i="1"/>
  <c r="DW49" i="1" s="1"/>
  <c r="DW41" i="1"/>
  <c r="DW34" i="1"/>
  <c r="DP21" i="1"/>
  <c r="DQ21" i="1"/>
  <c r="DR21" i="1"/>
  <c r="DS21" i="1"/>
  <c r="DT21" i="1"/>
  <c r="DU21" i="1"/>
  <c r="DV21" i="1"/>
  <c r="DW21" i="1"/>
  <c r="DW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S11" i="1"/>
  <c r="T11" i="1"/>
  <c r="U11" i="1"/>
  <c r="V11" i="1"/>
  <c r="AA11" i="1"/>
  <c r="AB11" i="1"/>
  <c r="AM11" i="1"/>
  <c r="AM62" i="1" s="1"/>
  <c r="AQ11" i="1"/>
  <c r="AR11" i="1"/>
  <c r="AS11" i="1"/>
  <c r="AT11" i="1"/>
  <c r="AU11" i="1"/>
  <c r="AV11" i="1"/>
  <c r="AW11" i="1"/>
  <c r="AX11" i="1"/>
  <c r="AY11" i="1"/>
  <c r="BA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C11" i="1"/>
  <c r="DD11" i="1"/>
  <c r="DE11" i="1"/>
  <c r="DF11" i="1"/>
  <c r="DG11" i="1"/>
  <c r="DH11" i="1"/>
  <c r="DI11" i="1"/>
  <c r="DJ11" i="1"/>
  <c r="DK11" i="1"/>
  <c r="DM11" i="1"/>
  <c r="DN11" i="1"/>
  <c r="DP11" i="1"/>
  <c r="DQ11" i="1"/>
  <c r="DR11" i="1"/>
  <c r="DS11" i="1"/>
  <c r="DT11" i="1"/>
  <c r="DU11" i="1"/>
  <c r="DV11" i="1"/>
  <c r="AC13" i="1"/>
  <c r="AE13" i="1" s="1"/>
  <c r="W14" i="1"/>
  <c r="W11" i="1" s="1"/>
  <c r="AC14" i="1"/>
  <c r="AZ14" i="1"/>
  <c r="CB14" i="1"/>
  <c r="AE16" i="1"/>
  <c r="AN16" i="1"/>
  <c r="AN11" i="1" s="1"/>
  <c r="AO16" i="1"/>
  <c r="AO11" i="1" s="1"/>
  <c r="AP16" i="1"/>
  <c r="AP11" i="1" s="1"/>
  <c r="CO16" i="1"/>
  <c r="DB16" i="1"/>
  <c r="AE17" i="1"/>
  <c r="AZ17" i="1"/>
  <c r="CB17" i="1"/>
  <c r="CO17" i="1"/>
  <c r="DB17" i="1"/>
  <c r="Y18" i="1"/>
  <c r="AC18" i="1"/>
  <c r="AZ18" i="1"/>
  <c r="CB18" i="1"/>
  <c r="CO18" i="1"/>
  <c r="DB18" i="1"/>
  <c r="X19" i="1"/>
  <c r="X11" i="1" s="1"/>
  <c r="Y19" i="1"/>
  <c r="Z19" i="1"/>
  <c r="Z11" i="1" s="1"/>
  <c r="AC19" i="1"/>
  <c r="AD19" i="1"/>
  <c r="AD11" i="1" s="1"/>
  <c r="AZ19" i="1"/>
  <c r="CB19" i="1"/>
  <c r="CO19" i="1"/>
  <c r="DB19" i="1"/>
  <c r="DL19" i="1"/>
  <c r="DO19" i="1" s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U21" i="1"/>
  <c r="V21" i="1"/>
  <c r="Y21" i="1"/>
  <c r="Z21" i="1"/>
  <c r="AA21" i="1"/>
  <c r="AB21" i="1"/>
  <c r="AC21" i="1"/>
  <c r="AD21" i="1"/>
  <c r="AN21" i="1"/>
  <c r="AO21" i="1"/>
  <c r="AR21" i="1"/>
  <c r="AS21" i="1"/>
  <c r="AW21" i="1"/>
  <c r="AX21" i="1"/>
  <c r="AY21" i="1"/>
  <c r="BA21" i="1"/>
  <c r="CC21" i="1"/>
  <c r="CD21" i="1"/>
  <c r="CE21" i="1"/>
  <c r="CG21" i="1"/>
  <c r="CH21" i="1"/>
  <c r="CI21" i="1"/>
  <c r="CJ21" i="1"/>
  <c r="CK21" i="1"/>
  <c r="CL21" i="1"/>
  <c r="CM21" i="1"/>
  <c r="CN21" i="1"/>
  <c r="CP21" i="1"/>
  <c r="CQ21" i="1"/>
  <c r="CR21" i="1"/>
  <c r="CS21" i="1"/>
  <c r="CU21" i="1"/>
  <c r="CV21" i="1"/>
  <c r="CW21" i="1"/>
  <c r="CX21" i="1"/>
  <c r="CY21" i="1"/>
  <c r="CZ21" i="1"/>
  <c r="DA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AE23" i="1"/>
  <c r="CB23" i="1"/>
  <c r="CO23" i="1"/>
  <c r="AE24" i="1"/>
  <c r="AE21" i="1" s="1"/>
  <c r="AZ24" i="1"/>
  <c r="AZ21" i="1" s="1"/>
  <c r="CB24" i="1"/>
  <c r="CF24" i="1"/>
  <c r="CF21" i="1" s="1"/>
  <c r="DB24" i="1"/>
  <c r="DB21" i="1" s="1"/>
  <c r="AE25" i="1"/>
  <c r="CB25" i="1"/>
  <c r="CO25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S27" i="1"/>
  <c r="T27" i="1"/>
  <c r="U27" i="1"/>
  <c r="V27" i="1"/>
  <c r="W27" i="1"/>
  <c r="X27" i="1"/>
  <c r="Y27" i="1"/>
  <c r="Z27" i="1"/>
  <c r="AA27" i="1"/>
  <c r="AB27" i="1"/>
  <c r="AC27" i="1"/>
  <c r="AD27" i="1"/>
  <c r="AE29" i="1"/>
  <c r="AE30" i="1"/>
  <c r="AE31" i="1"/>
  <c r="AZ31" i="1"/>
  <c r="AZ27" i="1" s="1"/>
  <c r="AE32" i="1"/>
  <c r="CB32" i="1"/>
  <c r="CO32" i="1"/>
  <c r="CS32" i="1"/>
  <c r="E34" i="1"/>
  <c r="F34" i="1"/>
  <c r="G34" i="1"/>
  <c r="H34" i="1"/>
  <c r="I34" i="1"/>
  <c r="J34" i="1"/>
  <c r="K34" i="1"/>
  <c r="P34" i="1"/>
  <c r="Q34" i="1"/>
  <c r="S34" i="1"/>
  <c r="U34" i="1"/>
  <c r="V34" i="1"/>
  <c r="W34" i="1"/>
  <c r="Y34" i="1"/>
  <c r="AA34" i="1"/>
  <c r="AB34" i="1"/>
  <c r="AO34" i="1"/>
  <c r="AP34" i="1"/>
  <c r="AQ34" i="1"/>
  <c r="AS34" i="1"/>
  <c r="AU34" i="1"/>
  <c r="AV34" i="1"/>
  <c r="AW34" i="1"/>
  <c r="AX34" i="1"/>
  <c r="AY34" i="1"/>
  <c r="BA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P34" i="1"/>
  <c r="CQ34" i="1"/>
  <c r="CR34" i="1"/>
  <c r="CS34" i="1"/>
  <c r="CT34" i="1"/>
  <c r="CU34" i="1"/>
  <c r="CV34" i="1"/>
  <c r="CW34" i="1"/>
  <c r="CY34" i="1"/>
  <c r="CZ34" i="1"/>
  <c r="DA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P34" i="1"/>
  <c r="DQ34" i="1"/>
  <c r="DR34" i="1"/>
  <c r="DS34" i="1"/>
  <c r="DT34" i="1"/>
  <c r="DU34" i="1"/>
  <c r="DV34" i="1"/>
  <c r="AE36" i="1"/>
  <c r="CB36" i="1"/>
  <c r="CO36" i="1"/>
  <c r="T37" i="1"/>
  <c r="T34" i="1" s="1"/>
  <c r="X37" i="1"/>
  <c r="X34" i="1" s="1"/>
  <c r="Z37" i="1"/>
  <c r="Z34" i="1" s="1"/>
  <c r="AC37" i="1"/>
  <c r="AC34" i="1" s="1"/>
  <c r="AD37" i="1"/>
  <c r="AD34" i="1" s="1"/>
  <c r="AZ37" i="1"/>
  <c r="AZ34" i="1" s="1"/>
  <c r="CB37" i="1"/>
  <c r="CO37" i="1"/>
  <c r="DB37" i="1"/>
  <c r="DB34" i="1" s="1"/>
  <c r="AE38" i="1"/>
  <c r="CB38" i="1"/>
  <c r="CO38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S41" i="1"/>
  <c r="U41" i="1"/>
  <c r="W41" i="1"/>
  <c r="AA41" i="1"/>
  <c r="AB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BA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P41" i="1"/>
  <c r="DQ41" i="1"/>
  <c r="DR41" i="1"/>
  <c r="DS41" i="1"/>
  <c r="DT41" i="1"/>
  <c r="DU41" i="1"/>
  <c r="DV41" i="1"/>
  <c r="AE43" i="1"/>
  <c r="AE44" i="1"/>
  <c r="CO44" i="1"/>
  <c r="T45" i="1"/>
  <c r="T41" i="1" s="1"/>
  <c r="V45" i="1"/>
  <c r="V41" i="1" s="1"/>
  <c r="X45" i="1"/>
  <c r="X41" i="1" s="1"/>
  <c r="Y45" i="1"/>
  <c r="Y41" i="1" s="1"/>
  <c r="Z45" i="1"/>
  <c r="Z41" i="1" s="1"/>
  <c r="AC45" i="1"/>
  <c r="AC41" i="1" s="1"/>
  <c r="AD45" i="1"/>
  <c r="AD41" i="1" s="1"/>
  <c r="AZ45" i="1"/>
  <c r="AZ41" i="1" s="1"/>
  <c r="CB45" i="1"/>
  <c r="CO45" i="1"/>
  <c r="DB45" i="1"/>
  <c r="DB41" i="1" s="1"/>
  <c r="Y47" i="1"/>
  <c r="AD47" i="1"/>
  <c r="AZ47" i="1"/>
  <c r="CB47" i="1"/>
  <c r="CO47" i="1"/>
  <c r="DB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S49" i="1"/>
  <c r="U49" i="1"/>
  <c r="W49" i="1"/>
  <c r="AA49" i="1"/>
  <c r="AO49" i="1"/>
  <c r="AP49" i="1"/>
  <c r="AQ49" i="1"/>
  <c r="AR49" i="1"/>
  <c r="AS49" i="1"/>
  <c r="AT49" i="1"/>
  <c r="AU49" i="1"/>
  <c r="AV49" i="1"/>
  <c r="AW49" i="1"/>
  <c r="AX49" i="1"/>
  <c r="AY49" i="1"/>
  <c r="BA49" i="1"/>
  <c r="CC49" i="1"/>
  <c r="CK49" i="1"/>
  <c r="CL49" i="1"/>
  <c r="CM49" i="1"/>
  <c r="DT49" i="1"/>
  <c r="AZ51" i="1"/>
  <c r="AE52" i="1"/>
  <c r="AM52" i="1" s="1"/>
  <c r="AZ52" i="1"/>
  <c r="CB52" i="1"/>
  <c r="CO52" i="1"/>
  <c r="AE53" i="1"/>
  <c r="AM53" i="1" s="1"/>
  <c r="AZ53" i="1"/>
  <c r="CB53" i="1"/>
  <c r="CO53" i="1"/>
  <c r="AE55" i="1"/>
  <c r="CB55" i="1"/>
  <c r="CO55" i="1"/>
  <c r="T56" i="1"/>
  <c r="AE56" i="1" s="1"/>
  <c r="AZ56" i="1"/>
  <c r="CB56" i="1"/>
  <c r="CO56" i="1"/>
  <c r="DB56" i="1"/>
  <c r="Z58" i="1"/>
  <c r="AC58" i="1"/>
  <c r="AD58" i="1"/>
  <c r="AZ58" i="1"/>
  <c r="CB58" i="1"/>
  <c r="CO58" i="1"/>
  <c r="DB58" i="1"/>
  <c r="T59" i="1"/>
  <c r="V59" i="1"/>
  <c r="V49" i="1" s="1"/>
  <c r="X59" i="1"/>
  <c r="X49" i="1" s="1"/>
  <c r="Y59" i="1"/>
  <c r="Y49" i="1" s="1"/>
  <c r="Z59" i="1"/>
  <c r="AB59" i="1"/>
  <c r="AB49" i="1" s="1"/>
  <c r="AC59" i="1"/>
  <c r="AD59" i="1"/>
  <c r="AN59" i="1"/>
  <c r="AZ59" i="1" s="1"/>
  <c r="CD59" i="1"/>
  <c r="CD49" i="1" s="1"/>
  <c r="CE59" i="1"/>
  <c r="CE49" i="1" s="1"/>
  <c r="CF59" i="1"/>
  <c r="CG59" i="1"/>
  <c r="CG49" i="1" s="1"/>
  <c r="CH59" i="1"/>
  <c r="CH49" i="1" s="1"/>
  <c r="CI59" i="1"/>
  <c r="CI49" i="1" s="1"/>
  <c r="CJ59" i="1"/>
  <c r="CJ49" i="1" s="1"/>
  <c r="CN59" i="1"/>
  <c r="CN49" i="1" s="1"/>
  <c r="CP59" i="1"/>
  <c r="CP49" i="1" s="1"/>
  <c r="CQ59" i="1"/>
  <c r="CQ49" i="1" s="1"/>
  <c r="CR59" i="1"/>
  <c r="CR49" i="1" s="1"/>
  <c r="CS59" i="1"/>
  <c r="CS49" i="1" s="1"/>
  <c r="CT59" i="1"/>
  <c r="CT49" i="1" s="1"/>
  <c r="CU59" i="1"/>
  <c r="CU49" i="1" s="1"/>
  <c r="CV59" i="1"/>
  <c r="CV49" i="1" s="1"/>
  <c r="CW59" i="1"/>
  <c r="CW49" i="1" s="1"/>
  <c r="CX59" i="1"/>
  <c r="CX49" i="1" s="1"/>
  <c r="CY59" i="1"/>
  <c r="CY49" i="1" s="1"/>
  <c r="CZ59" i="1"/>
  <c r="CZ49" i="1" s="1"/>
  <c r="DA59" i="1"/>
  <c r="DA49" i="1" s="1"/>
  <c r="DC59" i="1"/>
  <c r="DC49" i="1" s="1"/>
  <c r="DD59" i="1"/>
  <c r="DD49" i="1" s="1"/>
  <c r="DE59" i="1"/>
  <c r="DE49" i="1" s="1"/>
  <c r="DF59" i="1"/>
  <c r="DF49" i="1" s="1"/>
  <c r="DG59" i="1"/>
  <c r="DG49" i="1" s="1"/>
  <c r="DH59" i="1"/>
  <c r="DH49" i="1" s="1"/>
  <c r="DI59" i="1"/>
  <c r="DI49" i="1" s="1"/>
  <c r="DJ59" i="1"/>
  <c r="DJ49" i="1" s="1"/>
  <c r="DK59" i="1"/>
  <c r="DK49" i="1" s="1"/>
  <c r="DL59" i="1"/>
  <c r="DL49" i="1" s="1"/>
  <c r="DM59" i="1"/>
  <c r="DM49" i="1" s="1"/>
  <c r="DN59" i="1"/>
  <c r="DN49" i="1" s="1"/>
  <c r="DP59" i="1"/>
  <c r="DQ59" i="1"/>
  <c r="DQ49" i="1" s="1"/>
  <c r="DR59" i="1"/>
  <c r="DR49" i="1" s="1"/>
  <c r="DS59" i="1"/>
  <c r="DU59" i="1"/>
  <c r="DU49" i="1" s="1"/>
  <c r="DV59" i="1"/>
  <c r="R62" i="1"/>
  <c r="AF62" i="1"/>
  <c r="AL62" i="1"/>
  <c r="BC62" i="1"/>
  <c r="Y69" i="1"/>
  <c r="AC69" i="1"/>
  <c r="AC77" i="1" s="1"/>
  <c r="AD69" i="1"/>
  <c r="AD77" i="1" s="1"/>
  <c r="AZ69" i="1"/>
  <c r="CB69" i="1"/>
  <c r="CO69" i="1"/>
  <c r="DB69" i="1"/>
  <c r="AZ70" i="1"/>
  <c r="AE72" i="1"/>
  <c r="AZ72" i="1"/>
  <c r="AE73" i="1"/>
  <c r="AZ73" i="1"/>
  <c r="CB73" i="1"/>
  <c r="CF73" i="1"/>
  <c r="CO73" i="1"/>
  <c r="T74" i="1"/>
  <c r="T77" i="1" s="1"/>
  <c r="V74" i="1"/>
  <c r="V77" i="1" s="1"/>
  <c r="W74" i="1"/>
  <c r="W77" i="1" s="1"/>
  <c r="X74" i="1"/>
  <c r="X77" i="1" s="1"/>
  <c r="Y74" i="1"/>
  <c r="Z74" i="1"/>
  <c r="Z77" i="1" s="1"/>
  <c r="AZ74" i="1"/>
  <c r="CO74" i="1"/>
  <c r="CQ74" i="1"/>
  <c r="CQ77" i="1" s="1"/>
  <c r="CT74" i="1"/>
  <c r="CZ74" i="1"/>
  <c r="CZ77" i="1" s="1"/>
  <c r="DA74" i="1"/>
  <c r="DA77" i="1" s="1"/>
  <c r="DC74" i="1"/>
  <c r="DC77" i="1" s="1"/>
  <c r="DE74" i="1"/>
  <c r="DE77" i="1" s="1"/>
  <c r="DF74" i="1"/>
  <c r="DF77" i="1" s="1"/>
  <c r="DG74" i="1"/>
  <c r="DG77" i="1" s="1"/>
  <c r="DI74" i="1"/>
  <c r="DI77" i="1" s="1"/>
  <c r="DJ74" i="1"/>
  <c r="DJ77" i="1" s="1"/>
  <c r="DK74" i="1"/>
  <c r="DK77" i="1" s="1"/>
  <c r="DL74" i="1"/>
  <c r="DL77" i="1" s="1"/>
  <c r="DM74" i="1"/>
  <c r="DM77" i="1" s="1"/>
  <c r="DN74" i="1"/>
  <c r="DN77" i="1" s="1"/>
  <c r="DP74" i="1"/>
  <c r="DP77" i="1" s="1"/>
  <c r="DQ74" i="1"/>
  <c r="DQ77" i="1" s="1"/>
  <c r="DR74" i="1"/>
  <c r="DR77" i="1" s="1"/>
  <c r="DS74" i="1"/>
  <c r="DS77" i="1" s="1"/>
  <c r="DT74" i="1"/>
  <c r="DT77" i="1" s="1"/>
  <c r="DU74" i="1"/>
  <c r="DU77" i="1" s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U77" i="1"/>
  <c r="AA77" i="1"/>
  <c r="AB77" i="1"/>
  <c r="AF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P77" i="1"/>
  <c r="CR77" i="1"/>
  <c r="CS77" i="1"/>
  <c r="CU77" i="1"/>
  <c r="CV77" i="1"/>
  <c r="CW77" i="1"/>
  <c r="CX77" i="1"/>
  <c r="CY77" i="1"/>
  <c r="DD77" i="1"/>
  <c r="DH77" i="1"/>
  <c r="DV77" i="1"/>
  <c r="AK91" i="1"/>
  <c r="GC49" i="1"/>
  <c r="GB27" i="1" l="1"/>
  <c r="GH77" i="1"/>
  <c r="HN74" i="1"/>
  <c r="Y11" i="1"/>
  <c r="Y62" i="1" s="1"/>
  <c r="GO27" i="1"/>
  <c r="GV62" i="1"/>
  <c r="GS62" i="1"/>
  <c r="HD62" i="1"/>
  <c r="HC77" i="1"/>
  <c r="HN77" i="1" s="1"/>
  <c r="AD49" i="1"/>
  <c r="AD62" i="1" s="1"/>
  <c r="GC77" i="1"/>
  <c r="AC49" i="1"/>
  <c r="AE58" i="1"/>
  <c r="GL77" i="1"/>
  <c r="HA21" i="1"/>
  <c r="HA62" i="1" s="1"/>
  <c r="CB41" i="1"/>
  <c r="DZ11" i="1"/>
  <c r="GO21" i="1"/>
  <c r="Z49" i="1"/>
  <c r="Z62" i="1" s="1"/>
  <c r="AE14" i="1"/>
  <c r="AE47" i="1"/>
  <c r="CB34" i="1"/>
  <c r="T49" i="1"/>
  <c r="T61" i="1" s="1"/>
  <c r="FO27" i="1"/>
  <c r="ER62" i="1"/>
  <c r="GK77" i="1"/>
  <c r="EA77" i="1"/>
  <c r="GE77" i="1"/>
  <c r="EB19" i="1"/>
  <c r="EB11" i="1" s="1"/>
  <c r="AE19" i="1"/>
  <c r="AN49" i="1"/>
  <c r="AN62" i="1" s="1"/>
  <c r="FQ77" i="1"/>
  <c r="FS77" i="1"/>
  <c r="AZ77" i="1"/>
  <c r="FF62" i="1"/>
  <c r="FH62" i="1"/>
  <c r="CB16" i="1"/>
  <c r="CB11" i="1" s="1"/>
  <c r="CO41" i="1"/>
  <c r="GB74" i="1"/>
  <c r="GM77" i="1"/>
  <c r="CB74" i="1"/>
  <c r="CB77" i="1" s="1"/>
  <c r="FB59" i="1"/>
  <c r="FB49" i="1" s="1"/>
  <c r="EO11" i="1"/>
  <c r="GB11" i="1"/>
  <c r="EN62" i="1"/>
  <c r="EB45" i="1"/>
  <c r="EB41" i="1" s="1"/>
  <c r="CE62" i="1"/>
  <c r="CE85" i="1" s="1"/>
  <c r="CO11" i="1"/>
  <c r="AZ16" i="1"/>
  <c r="AZ11" i="1" s="1"/>
  <c r="EQ62" i="1"/>
  <c r="FP77" i="1"/>
  <c r="AE74" i="1"/>
  <c r="DB74" i="1"/>
  <c r="DB77" i="1" s="1"/>
  <c r="EM62" i="1"/>
  <c r="CO77" i="1"/>
  <c r="GN77" i="1"/>
  <c r="GJ77" i="1"/>
  <c r="FM62" i="1"/>
  <c r="GR62" i="1"/>
  <c r="FK62" i="1"/>
  <c r="DF62" i="1"/>
  <c r="CX62" i="1"/>
  <c r="CX85" i="1" s="1"/>
  <c r="CN62" i="1"/>
  <c r="CN85" i="1" s="1"/>
  <c r="U62" i="1"/>
  <c r="L62" i="1"/>
  <c r="CC62" i="1"/>
  <c r="CC85" i="1" s="1"/>
  <c r="DN62" i="1"/>
  <c r="CZ62" i="1"/>
  <c r="CZ85" i="1" s="1"/>
  <c r="FE62" i="1"/>
  <c r="GZ62" i="1"/>
  <c r="CH62" i="1"/>
  <c r="CH85" i="1" s="1"/>
  <c r="GE62" i="1"/>
  <c r="GM62" i="1"/>
  <c r="AZ49" i="1"/>
  <c r="GQ62" i="1"/>
  <c r="CB59" i="1"/>
  <c r="CB49" i="1" s="1"/>
  <c r="EB69" i="1"/>
  <c r="GI77" i="1"/>
  <c r="AW62" i="1"/>
  <c r="DM62" i="1"/>
  <c r="CL62" i="1"/>
  <c r="CL85" i="1" s="1"/>
  <c r="Q62" i="1"/>
  <c r="E62" i="1"/>
  <c r="DB11" i="1"/>
  <c r="EP49" i="1"/>
  <c r="EP62" i="1" s="1"/>
  <c r="FT62" i="1"/>
  <c r="HC21" i="1"/>
  <c r="HN21" i="1" s="1"/>
  <c r="FV62" i="1"/>
  <c r="AE45" i="1"/>
  <c r="AE41" i="1" s="1"/>
  <c r="CO34" i="1"/>
  <c r="CT77" i="1"/>
  <c r="AU62" i="1"/>
  <c r="CO24" i="1"/>
  <c r="CO21" i="1" s="1"/>
  <c r="FO11" i="1"/>
  <c r="HE11" i="1"/>
  <c r="HN11" i="1" s="1"/>
  <c r="HB62" i="1"/>
  <c r="AC11" i="1"/>
  <c r="GO11" i="1"/>
  <c r="HE41" i="1"/>
  <c r="HN41" i="1" s="1"/>
  <c r="EO74" i="1"/>
  <c r="EO77" i="1" s="1"/>
  <c r="EB59" i="1"/>
  <c r="FO59" i="1"/>
  <c r="FO49" i="1" s="1"/>
  <c r="AE18" i="1"/>
  <c r="GB41" i="1"/>
  <c r="GO34" i="1"/>
  <c r="GO41" i="1"/>
  <c r="GO59" i="1"/>
  <c r="GO49" i="1" s="1"/>
  <c r="CO59" i="1"/>
  <c r="CO49" i="1" s="1"/>
  <c r="GP77" i="1"/>
  <c r="GP62" i="1"/>
  <c r="AE27" i="1"/>
  <c r="CB21" i="1"/>
  <c r="DX62" i="1"/>
  <c r="DE62" i="1"/>
  <c r="EG62" i="1"/>
  <c r="GT62" i="1"/>
  <c r="FP62" i="1"/>
  <c r="N62" i="1"/>
  <c r="GA62" i="1"/>
  <c r="CS62" i="1"/>
  <c r="CS85" i="1" s="1"/>
  <c r="DY62" i="1"/>
  <c r="GG62" i="1"/>
  <c r="AX62" i="1"/>
  <c r="DT62" i="1"/>
  <c r="EI62" i="1"/>
  <c r="FY62" i="1"/>
  <c r="FL62" i="1"/>
  <c r="FX62" i="1"/>
  <c r="CY62" i="1"/>
  <c r="CY85" i="1" s="1"/>
  <c r="CV62" i="1"/>
  <c r="CV85" i="1" s="1"/>
  <c r="FG62" i="1"/>
  <c r="FS62" i="1"/>
  <c r="ED62" i="1"/>
  <c r="GK62" i="1"/>
  <c r="CW62" i="1"/>
  <c r="CW85" i="1" s="1"/>
  <c r="GL62" i="1"/>
  <c r="GF62" i="1"/>
  <c r="FB16" i="1"/>
  <c r="FB11" i="1" s="1"/>
  <c r="FB62" i="1" s="1"/>
  <c r="V62" i="1"/>
  <c r="CI62" i="1"/>
  <c r="CI85" i="1" s="1"/>
  <c r="AQ62" i="1"/>
  <c r="DO11" i="1"/>
  <c r="GU62" i="1"/>
  <c r="DJ62" i="1"/>
  <c r="EU62" i="1"/>
  <c r="DP49" i="1"/>
  <c r="DP62" i="1" s="1"/>
  <c r="DS49" i="1"/>
  <c r="DS62" i="1" s="1"/>
  <c r="DI62" i="1"/>
  <c r="M62" i="1"/>
  <c r="AO62" i="1"/>
  <c r="DD62" i="1"/>
  <c r="CP62" i="1"/>
  <c r="CP85" i="1" s="1"/>
  <c r="EX62" i="1"/>
  <c r="GX62" i="1"/>
  <c r="GY62" i="1"/>
  <c r="EB74" i="1"/>
  <c r="DO59" i="1"/>
  <c r="DO49" i="1" s="1"/>
  <c r="DZ49" i="1"/>
  <c r="F62" i="1"/>
  <c r="CU62" i="1"/>
  <c r="CU85" i="1" s="1"/>
  <c r="DG62" i="1"/>
  <c r="CT62" i="1"/>
  <c r="CG62" i="1"/>
  <c r="CG85" i="1" s="1"/>
  <c r="EH62" i="1"/>
  <c r="EW62" i="1"/>
  <c r="FD62" i="1"/>
  <c r="GJ62" i="1"/>
  <c r="GD62" i="1"/>
  <c r="GH62" i="1"/>
  <c r="GI62" i="1"/>
  <c r="GW62" i="1"/>
  <c r="GO74" i="1"/>
  <c r="AE69" i="1"/>
  <c r="Y77" i="1"/>
  <c r="AP62" i="1"/>
  <c r="W62" i="1"/>
  <c r="EJ62" i="1"/>
  <c r="FC62" i="1"/>
  <c r="FR62" i="1"/>
  <c r="FZ62" i="1"/>
  <c r="GC62" i="1"/>
  <c r="GN62" i="1"/>
  <c r="AA62" i="1"/>
  <c r="CR62" i="1"/>
  <c r="CR85" i="1" s="1"/>
  <c r="CD62" i="1"/>
  <c r="CD85" i="1" s="1"/>
  <c r="BA62" i="1"/>
  <c r="K62" i="1"/>
  <c r="EA62" i="1"/>
  <c r="EF62" i="1"/>
  <c r="FN62" i="1"/>
  <c r="FW62" i="1"/>
  <c r="DO74" i="1"/>
  <c r="DO77" i="1" s="1"/>
  <c r="CK62" i="1"/>
  <c r="CK85" i="1" s="1"/>
  <c r="DO21" i="1"/>
  <c r="CQ62" i="1"/>
  <c r="CQ85" i="1" s="1"/>
  <c r="AY62" i="1"/>
  <c r="J62" i="1"/>
  <c r="ET62" i="1"/>
  <c r="GB59" i="1"/>
  <c r="GB49" i="1" s="1"/>
  <c r="AE37" i="1"/>
  <c r="AE34" i="1" s="1"/>
  <c r="DV49" i="1"/>
  <c r="DV62" i="1" s="1"/>
  <c r="CF49" i="1"/>
  <c r="CF62" i="1" s="1"/>
  <c r="CF85" i="1" s="1"/>
  <c r="CJ62" i="1"/>
  <c r="CJ85" i="1" s="1"/>
  <c r="AV62" i="1"/>
  <c r="I62" i="1"/>
  <c r="DQ62" i="1"/>
  <c r="DC62" i="1"/>
  <c r="X62" i="1"/>
  <c r="EC62" i="1"/>
  <c r="FQ62" i="1"/>
  <c r="FU62" i="1"/>
  <c r="FB74" i="1"/>
  <c r="FB77" i="1" s="1"/>
  <c r="GF77" i="1"/>
  <c r="GG77" i="1"/>
  <c r="AT62" i="1"/>
  <c r="DA62" i="1"/>
  <c r="DA85" i="1" s="1"/>
  <c r="CM62" i="1"/>
  <c r="CM85" i="1" s="1"/>
  <c r="S62" i="1"/>
  <c r="G62" i="1"/>
  <c r="DZ77" i="1"/>
  <c r="EY62" i="1"/>
  <c r="FJ62" i="1"/>
  <c r="DL11" i="1"/>
  <c r="DL62" i="1" s="1"/>
  <c r="P62" i="1"/>
  <c r="DU62" i="1"/>
  <c r="DH62" i="1"/>
  <c r="FI62" i="1"/>
  <c r="EO59" i="1"/>
  <c r="EO49" i="1" s="1"/>
  <c r="AE59" i="1"/>
  <c r="O62" i="1"/>
  <c r="H62" i="1"/>
  <c r="DK62" i="1"/>
  <c r="AS62" i="1"/>
  <c r="EL62" i="1"/>
  <c r="FA62" i="1"/>
  <c r="DW62" i="1"/>
  <c r="FO74" i="1"/>
  <c r="FO77" i="1" s="1"/>
  <c r="DB59" i="1"/>
  <c r="DB49" i="1" s="1"/>
  <c r="DR62" i="1"/>
  <c r="AR62" i="1"/>
  <c r="EE62" i="1"/>
  <c r="EK62" i="1"/>
  <c r="EV62" i="1"/>
  <c r="EZ62" i="1"/>
  <c r="AB62" i="1"/>
  <c r="HC62" i="1" l="1"/>
  <c r="AC62" i="1"/>
  <c r="HE62" i="1"/>
  <c r="AE77" i="1"/>
  <c r="AE49" i="1"/>
  <c r="AE11" i="1"/>
  <c r="DZ62" i="1"/>
  <c r="EB77" i="1"/>
  <c r="EO62" i="1"/>
  <c r="FO62" i="1"/>
  <c r="AZ62" i="1"/>
  <c r="CO62" i="1"/>
  <c r="CO85" i="1" s="1"/>
  <c r="GO62" i="1"/>
  <c r="GB62" i="1"/>
  <c r="DB62" i="1"/>
  <c r="DB85" i="1" s="1"/>
  <c r="CT85" i="1"/>
  <c r="DO62" i="1"/>
  <c r="GO77" i="1"/>
  <c r="GB77" i="1"/>
  <c r="EB49" i="1"/>
  <c r="EB62" i="1" s="1"/>
  <c r="HN62" i="1" l="1"/>
  <c r="AE62" i="1"/>
  <c r="CZ89" i="1"/>
  <c r="HR41" i="1" l="1"/>
  <c r="HX41" i="1"/>
  <c r="HX62" i="1" l="1"/>
  <c r="HR62" i="1"/>
  <c r="CB62" i="1" l="1"/>
  <c r="IB21" i="1" l="1"/>
  <c r="IB62" i="1" s="1"/>
  <c r="IH49" i="1" l="1"/>
  <c r="IH62" i="1" s="1"/>
  <c r="II49" i="1"/>
  <c r="II62" i="1" s="1"/>
</calcChain>
</file>

<file path=xl/sharedStrings.xml><?xml version="1.0" encoding="utf-8"?>
<sst xmlns="http://schemas.openxmlformats.org/spreadsheetml/2006/main" count="1407" uniqueCount="97">
  <si>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</si>
  <si>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</si>
  <si>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</si>
  <si>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</si>
  <si>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</si>
  <si>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</si>
  <si>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</si>
  <si>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</si>
  <si>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</si>
  <si>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</si>
  <si>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</si>
  <si>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</si>
  <si>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</si>
  <si>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</si>
  <si>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</si>
  <si>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</si>
  <si>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</si>
  <si>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</si>
  <si>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</si>
  <si>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</si>
  <si>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</si>
  <si>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</si>
  <si>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</si>
  <si>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</si>
  <si>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</si>
  <si>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</si>
  <si>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>PRODUITS DES INDUSTRIES ALIMENTAIRES</t>
  </si>
  <si>
    <t/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</si>
  <si>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</si>
  <si>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</si>
  <si>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</si>
  <si>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</si>
  <si>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</si>
  <si>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</si>
  <si>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</si>
  <si>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</si>
  <si>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</si>
  <si>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</si>
  <si>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</si>
  <si>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</si>
  <si>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</si>
  <si>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</si>
  <si>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</si>
  <si>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</si>
  <si>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</si>
  <si>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</si>
  <si>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</si>
  <si>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</si>
  <si>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MATERIEL D'EQUIPEMENT DESTINE </t>
  </si>
  <si>
    <t>AU SECTEUR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</si>
  <si>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</si>
  <si>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</si>
  <si>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</si>
  <si>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</si>
  <si>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</si>
  <si>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</si>
  <si>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</si>
  <si>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</si>
  <si>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</si>
  <si>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</si>
  <si>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</si>
  <si>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</si>
  <si>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</si>
  <si>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</si>
  <si>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Jan-Déc.</t>
  </si>
  <si>
    <t>V.2</t>
  </si>
  <si>
    <t xml:space="preserve">             -</t>
  </si>
  <si>
    <t>Période</t>
  </si>
  <si>
    <t>Produit</t>
  </si>
  <si>
    <t xml:space="preserve">         2  0</t>
  </si>
  <si>
    <t>Café</t>
  </si>
  <si>
    <t xml:space="preserve">              -</t>
  </si>
  <si>
    <t>Peaux</t>
  </si>
  <si>
    <t>Cassitérite</t>
  </si>
  <si>
    <t>Equipements</t>
  </si>
  <si>
    <t>Divers</t>
  </si>
  <si>
    <t xml:space="preserve">T O T A L </t>
  </si>
  <si>
    <t xml:space="preserve">                                                   A. ENTREES DE MARCHANDISES AU PORT DE BUJUMBURA</t>
  </si>
  <si>
    <t xml:space="preserve">                                                    B. SORTIES DE MARCHANDISES DU PORT DE BUJUMBURA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</si>
  <si>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</si>
  <si>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</si>
  <si>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</si>
  <si>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</si>
  <si>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</t>
  </si>
  <si>
    <t xml:space="preserve">            </t>
  </si>
  <si>
    <t>Jan-Dec.</t>
  </si>
  <si>
    <t>Jan-Déc</t>
  </si>
  <si>
    <t>Févier</t>
  </si>
  <si>
    <t>Déc</t>
  </si>
  <si>
    <t>Source : GPSB (ex-E.P.B.)</t>
  </si>
  <si>
    <t xml:space="preserve">                                            (en T) </t>
  </si>
  <si>
    <t xml:space="preserve">                                                  (en T)</t>
  </si>
  <si>
    <t>Bières</t>
  </si>
  <si>
    <t xml:space="preserve">      - Fripperie</t>
  </si>
  <si>
    <t>Janv-Décembre</t>
  </si>
  <si>
    <t xml:space="preserve">  Janv-Déc</t>
  </si>
  <si>
    <t>Janvier-Février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</si>
</sst>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\ _€_-;\-* #,##0\ _€_-;_-* &quot;-&quot;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0.0_)"/>
    <numFmt numFmtId="168" formatCode="0_)"/>
    <numFmt numFmtId="169" formatCode="General_)"/>
    <numFmt numFmtId="170" formatCode="_-* #,##0.0\ _F_-;\-* #,##0.0\ _F_-;_-* &quot;-&quot;??\ _F_-;_-@_-"/>
    <numFmt numFmtId="171" formatCode="_-* #,##0\ _F_-;\-* #,##0\ _F_-;_-* &quot;-&quot;??\ _F_-;_-@_-"/>
    <numFmt numFmtId="172" formatCode="_-* #,##0.000\ _F_-;\-* #,##0.000\ _F_-;_-* &quot;-&quot;??\ _F_-;_-@_-"/>
    <numFmt numFmtId="173" formatCode="#,##0.000000"/>
    <numFmt numFmtId="174" formatCode="_-* #,##0.00\ _€_-;\-* #,##0.00\ _€_-;_-* &quot;-&quot;\ _€_-;_-@_-"/>
    <numFmt numFmtId="175" formatCode="0.0000"/>
    <numFmt numFmtId="176" formatCode="0.000"/>
    <numFmt numFmtId="177" formatCode="#,##0_ ;\-#,##0\ "/>
    <numFmt numFmtId="178" formatCode="0.000000000"/>
    <numFmt numFmtId="179" formatCode="0.00000"/>
    <numFmt numFmtId="180" formatCode="#,##0;[Red]#,##0"/>
    <numFmt numFmtId="181" formatCode="#,##0.000000;[Red]#,##0.000000"/>
    <numFmt numFmtId="182" formatCode="#,##0.000;[Red]#,##0.000"/>
    <numFmt numFmtId="183" formatCode="#,##0.0000000000;[Red]#,##0.0000000000"/>
  </numFmts>
  <fonts count="8" x14ac:knownFonts="1">
    <font>
      <sz val="12"/>
      <name val="Helv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9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4">
    <xf numFmtId="169" fontId="0" fillId="0" borderId="0" xfId="0"/>
    <xf numFmtId="169" fontId="0" fillId="0" borderId="0" xfId="0" applyBorder="1"/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0" fillId="0" borderId="0" xfId="0" applyBorder="1" applyAlignment="1">
      <alignment horizontal="left"/>
    </xf>
    <xf numFmtId="37" fontId="0" fillId="0" borderId="0" xfId="0" applyNumberFormat="1" applyBorder="1" applyProtection="1"/>
    <xf numFmtId="169" fontId="0" fillId="0" borderId="1" xfId="0" applyBorder="1"/>
    <xf numFmtId="37" fontId="0" fillId="0" borderId="0" xfId="0" applyNumberFormat="1" applyBorder="1" applyAlignment="1" applyProtection="1">
      <alignment horizontal="fill"/>
    </xf>
    <xf numFmtId="171" fontId="0" fillId="0" borderId="0" xfId="1" applyNumberFormat="1" applyFont="1" applyBorder="1" applyAlignment="1">
      <alignment horizontal="right"/>
    </xf>
    <xf numFmtId="3" fontId="0" fillId="0" borderId="0" xfId="1" applyNumberFormat="1" applyFont="1" applyBorder="1" applyProtection="1"/>
    <xf numFmtId="3" fontId="0" fillId="0" borderId="0" xfId="1" applyNumberFormat="1" applyFont="1" applyBorder="1"/>
    <xf numFmtId="3" fontId="0" fillId="0" borderId="0" xfId="1" applyNumberFormat="1" applyFont="1" applyBorder="1" applyAlignment="1" applyProtection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1" applyNumberFormat="1" applyFont="1" applyBorder="1" applyAlignment="1" applyProtection="1"/>
    <xf numFmtId="3" fontId="0" fillId="0" borderId="2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fill"/>
    </xf>
    <xf numFmtId="3" fontId="0" fillId="0" borderId="3" xfId="0" applyNumberFormat="1" applyBorder="1"/>
    <xf numFmtId="3" fontId="0" fillId="0" borderId="0" xfId="0" applyNumberFormat="1" applyBorder="1" applyAlignment="1" applyProtection="1">
      <alignment horizontal="right"/>
    </xf>
    <xf numFmtId="3" fontId="0" fillId="0" borderId="0" xfId="1" applyNumberFormat="1" applyFont="1" applyBorder="1" applyAlignment="1" applyProtection="1">
      <alignment horizontal="center"/>
    </xf>
    <xf numFmtId="3" fontId="0" fillId="0" borderId="0" xfId="0" applyNumberFormat="1" applyBorder="1"/>
    <xf numFmtId="172" fontId="0" fillId="0" borderId="0" xfId="1" applyNumberFormat="1" applyFont="1" applyBorder="1" applyProtection="1"/>
    <xf numFmtId="167" fontId="4" fillId="0" borderId="5" xfId="0" applyNumberFormat="1" applyFont="1" applyBorder="1" applyAlignment="1" applyProtection="1">
      <alignment horizontal="fill"/>
    </xf>
    <xf numFmtId="167" fontId="4" fillId="0" borderId="2" xfId="0" applyNumberFormat="1" applyFont="1" applyBorder="1" applyAlignment="1" applyProtection="1">
      <alignment horizontal="fill"/>
    </xf>
    <xf numFmtId="169" fontId="4" fillId="0" borderId="2" xfId="0" applyFont="1" applyBorder="1" applyAlignment="1">
      <alignment horizontal="fill"/>
    </xf>
    <xf numFmtId="37" fontId="4" fillId="0" borderId="2" xfId="0" applyNumberFormat="1" applyFont="1" applyBorder="1" applyAlignment="1" applyProtection="1">
      <alignment horizontal="fill"/>
    </xf>
    <xf numFmtId="169" fontId="4" fillId="0" borderId="2" xfId="0" applyFont="1" applyBorder="1"/>
    <xf numFmtId="165" fontId="5" fillId="0" borderId="2" xfId="2" applyFont="1" applyBorder="1" applyAlignment="1">
      <alignment horizontal="center"/>
    </xf>
    <xf numFmtId="169" fontId="5" fillId="0" borderId="2" xfId="0" applyFont="1" applyBorder="1"/>
    <xf numFmtId="169" fontId="4" fillId="0" borderId="6" xfId="0" applyFont="1" applyBorder="1"/>
    <xf numFmtId="167" fontId="4" fillId="0" borderId="4" xfId="0" applyNumberFormat="1" applyFont="1" applyBorder="1" applyProtection="1"/>
    <xf numFmtId="167" fontId="4" fillId="0" borderId="0" xfId="0" applyNumberFormat="1" applyFont="1" applyBorder="1" applyProtection="1"/>
    <xf numFmtId="169" fontId="4" fillId="0" borderId="0" xfId="0" applyFont="1" applyBorder="1"/>
    <xf numFmtId="169" fontId="6" fillId="0" borderId="0" xfId="0" applyFont="1" applyBorder="1"/>
    <xf numFmtId="169" fontId="4" fillId="0" borderId="4" xfId="0" applyFont="1" applyBorder="1"/>
    <xf numFmtId="3" fontId="4" fillId="0" borderId="0" xfId="1" applyNumberFormat="1" applyFont="1" applyBorder="1"/>
    <xf numFmtId="169" fontId="4" fillId="0" borderId="0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0" xfId="0" applyFont="1" applyBorder="1" applyAlignment="1"/>
    <xf numFmtId="169" fontId="4" fillId="0" borderId="7" xfId="0" applyFont="1" applyBorder="1"/>
    <xf numFmtId="169" fontId="4" fillId="0" borderId="3" xfId="0" applyFont="1" applyBorder="1" applyAlignment="1">
      <alignment horizontal="fill"/>
    </xf>
    <xf numFmtId="37" fontId="4" fillId="0" borderId="3" xfId="0" applyNumberFormat="1" applyFont="1" applyBorder="1" applyAlignment="1" applyProtection="1">
      <alignment horizontal="fill"/>
    </xf>
    <xf numFmtId="169" fontId="4" fillId="0" borderId="3" xfId="0" applyFont="1" applyBorder="1"/>
    <xf numFmtId="169" fontId="4" fillId="0" borderId="3" xfId="0" applyFont="1" applyBorder="1" applyAlignment="1"/>
    <xf numFmtId="169" fontId="4" fillId="0" borderId="8" xfId="0" applyFont="1" applyBorder="1" applyAlignment="1"/>
    <xf numFmtId="169" fontId="4" fillId="0" borderId="8" xfId="0" applyFont="1" applyBorder="1"/>
    <xf numFmtId="169" fontId="4" fillId="0" borderId="9" xfId="0" applyFont="1" applyBorder="1"/>
    <xf numFmtId="169" fontId="4" fillId="0" borderId="1" xfId="0" applyFont="1" applyBorder="1"/>
    <xf numFmtId="169" fontId="4" fillId="0" borderId="1" xfId="0" applyFont="1" applyBorder="1" applyAlignment="1"/>
    <xf numFmtId="169" fontId="4" fillId="0" borderId="2" xfId="0" applyFont="1" applyBorder="1" applyAlignment="1"/>
    <xf numFmtId="169" fontId="4" fillId="0" borderId="5" xfId="0" applyFont="1" applyBorder="1" applyAlignment="1"/>
    <xf numFmtId="169" fontId="4" fillId="0" borderId="6" xfId="0" applyFont="1" applyBorder="1" applyAlignment="1"/>
    <xf numFmtId="169" fontId="4" fillId="0" borderId="5" xfId="0" applyFont="1" applyBorder="1"/>
    <xf numFmtId="167" fontId="4" fillId="0" borderId="9" xfId="0" applyNumberFormat="1" applyFont="1" applyBorder="1" applyProtection="1"/>
    <xf numFmtId="168" fontId="4" fillId="0" borderId="0" xfId="0" applyNumberFormat="1" applyFont="1" applyBorder="1" applyAlignment="1" applyProtection="1">
      <alignment horizontal="left"/>
    </xf>
    <xf numFmtId="168" fontId="4" fillId="0" borderId="0" xfId="0" applyNumberFormat="1" applyFont="1" applyBorder="1" applyAlignment="1" applyProtection="1">
      <alignment horizontal="center"/>
    </xf>
    <xf numFmtId="169" fontId="4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left"/>
    </xf>
    <xf numFmtId="169" fontId="4" fillId="0" borderId="4" xfId="0" applyFont="1" applyBorder="1" applyAlignment="1">
      <alignment horizontal="right"/>
    </xf>
    <xf numFmtId="171" fontId="4" fillId="0" borderId="0" xfId="1" applyNumberFormat="1" applyFont="1" applyBorder="1" applyAlignment="1">
      <alignment horizontal="right"/>
    </xf>
    <xf numFmtId="171" fontId="4" fillId="0" borderId="3" xfId="1" applyNumberFormat="1" applyFont="1" applyBorder="1" applyAlignment="1">
      <alignment horizontal="right"/>
    </xf>
    <xf numFmtId="169" fontId="4" fillId="0" borderId="3" xfId="0" applyFont="1" applyBorder="1" applyAlignment="1">
      <alignment horizontal="right"/>
    </xf>
    <xf numFmtId="169" fontId="4" fillId="0" borderId="8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4" fillId="0" borderId="0" xfId="0" applyFont="1" applyFill="1" applyBorder="1" applyAlignment="1">
      <alignment horizontal="right"/>
    </xf>
    <xf numFmtId="169" fontId="4" fillId="0" borderId="0" xfId="0" applyFont="1" applyFill="1" applyBorder="1" applyAlignment="1"/>
    <xf numFmtId="169" fontId="4" fillId="0" borderId="4" xfId="0" applyFont="1" applyBorder="1" applyAlignment="1">
      <alignment horizontal="center"/>
    </xf>
    <xf numFmtId="3" fontId="4" fillId="0" borderId="9" xfId="1" applyNumberFormat="1" applyFont="1" applyBorder="1"/>
    <xf numFmtId="169" fontId="4" fillId="0" borderId="7" xfId="0" applyFont="1" applyBorder="1" applyAlignment="1">
      <alignment horizontal="left"/>
    </xf>
    <xf numFmtId="169" fontId="4" fillId="0" borderId="10" xfId="0" applyFont="1" applyBorder="1" applyAlignment="1">
      <alignment shrinkToFit="1"/>
    </xf>
    <xf numFmtId="169" fontId="4" fillId="0" borderId="3" xfId="0" applyFont="1" applyBorder="1" applyAlignment="1">
      <alignment shrinkToFit="1"/>
    </xf>
    <xf numFmtId="169" fontId="4" fillId="0" borderId="3" xfId="0" applyFont="1" applyBorder="1" applyAlignment="1">
      <alignment horizontal="right" shrinkToFit="1"/>
    </xf>
    <xf numFmtId="171" fontId="4" fillId="0" borderId="3" xfId="1" applyNumberFormat="1" applyFont="1" applyBorder="1" applyAlignment="1">
      <alignment horizontal="right" shrinkToFit="1"/>
    </xf>
    <xf numFmtId="169" fontId="4" fillId="0" borderId="3" xfId="0" applyFont="1" applyBorder="1" applyAlignment="1">
      <alignment horizontal="left" shrinkToFit="1"/>
    </xf>
    <xf numFmtId="169" fontId="4" fillId="0" borderId="3" xfId="0" applyFont="1" applyBorder="1" applyAlignment="1">
      <alignment horizontal="center" shrinkToFit="1"/>
    </xf>
    <xf numFmtId="169" fontId="4" fillId="0" borderId="9" xfId="0" applyFont="1" applyBorder="1" applyAlignment="1">
      <alignment shrinkToFit="1"/>
    </xf>
    <xf numFmtId="169" fontId="4" fillId="0" borderId="11" xfId="0" applyFont="1" applyBorder="1" applyAlignment="1"/>
    <xf numFmtId="37" fontId="4" fillId="0" borderId="0" xfId="0" applyNumberFormat="1" applyFont="1" applyBorder="1" applyProtection="1"/>
    <xf numFmtId="169" fontId="4" fillId="0" borderId="2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1" xfId="0" applyFont="1" applyBorder="1" applyAlignment="1">
      <alignment horizontal="center"/>
    </xf>
    <xf numFmtId="169" fontId="4" fillId="0" borderId="7" xfId="0" applyFont="1" applyBorder="1" applyAlignment="1">
      <alignment horizontal="right"/>
    </xf>
    <xf numFmtId="169" fontId="4" fillId="0" borderId="9" xfId="0" applyFont="1" applyBorder="1" applyAlignment="1">
      <alignment horizontal="right"/>
    </xf>
    <xf numFmtId="169" fontId="4" fillId="0" borderId="5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 horizontal="fill"/>
    </xf>
    <xf numFmtId="169" fontId="4" fillId="0" borderId="10" xfId="0" applyFont="1" applyBorder="1" applyAlignment="1">
      <alignment horizontal="fill"/>
    </xf>
    <xf numFmtId="169" fontId="4" fillId="0" borderId="8" xfId="0" applyFont="1" applyBorder="1" applyAlignment="1">
      <alignment horizontal="fill"/>
    </xf>
    <xf numFmtId="169" fontId="4" fillId="0" borderId="11" xfId="0" applyFont="1" applyBorder="1" applyAlignment="1">
      <alignment horizontal="fill"/>
    </xf>
    <xf numFmtId="37" fontId="4" fillId="0" borderId="2" xfId="0" applyNumberFormat="1" applyFont="1" applyBorder="1" applyProtection="1"/>
    <xf numFmtId="167" fontId="4" fillId="0" borderId="9" xfId="0" applyNumberFormat="1" applyFont="1" applyBorder="1" applyAlignment="1" applyProtection="1">
      <alignment horizontal="left"/>
    </xf>
    <xf numFmtId="3" fontId="4" fillId="0" borderId="0" xfId="1" applyNumberFormat="1" applyFont="1" applyBorder="1" applyProtection="1"/>
    <xf numFmtId="3" fontId="4" fillId="0" borderId="9" xfId="1" applyNumberFormat="1" applyFont="1" applyBorder="1" applyProtection="1"/>
    <xf numFmtId="3" fontId="4" fillId="0" borderId="7" xfId="1" applyNumberFormat="1" applyFont="1" applyBorder="1" applyProtection="1"/>
    <xf numFmtId="3" fontId="4" fillId="0" borderId="7" xfId="1" applyNumberFormat="1" applyFont="1" applyBorder="1"/>
    <xf numFmtId="3" fontId="4" fillId="0" borderId="7" xfId="0" applyNumberFormat="1" applyFont="1" applyBorder="1"/>
    <xf numFmtId="3" fontId="4" fillId="0" borderId="0" xfId="1" applyNumberFormat="1" applyFont="1" applyBorder="1" applyAlignment="1" applyProtection="1">
      <alignment horizontal="left"/>
    </xf>
    <xf numFmtId="3" fontId="4" fillId="0" borderId="9" xfId="1" applyNumberFormat="1" applyFont="1" applyBorder="1" applyAlignment="1" applyProtection="1">
      <alignment horizontal="left"/>
    </xf>
    <xf numFmtId="170" fontId="4" fillId="0" borderId="9" xfId="1" applyNumberFormat="1" applyFont="1" applyBorder="1" applyAlignment="1" applyProtection="1">
      <alignment horizontal="right"/>
    </xf>
    <xf numFmtId="3" fontId="4" fillId="0" borderId="7" xfId="1" applyNumberFormat="1" applyFont="1" applyFill="1" applyBorder="1"/>
    <xf numFmtId="3" fontId="4" fillId="0" borderId="9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center"/>
    </xf>
    <xf numFmtId="3" fontId="4" fillId="0" borderId="9" xfId="1" applyNumberFormat="1" applyFont="1" applyBorder="1" applyAlignment="1">
      <alignment horizontal="right"/>
    </xf>
    <xf numFmtId="3" fontId="4" fillId="0" borderId="7" xfId="1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3" fontId="4" fillId="0" borderId="9" xfId="1" applyNumberFormat="1" applyFont="1" applyBorder="1" applyAlignment="1">
      <alignment horizontal="center"/>
    </xf>
    <xf numFmtId="3" fontId="4" fillId="0" borderId="7" xfId="1" applyNumberFormat="1" applyFont="1" applyBorder="1" applyAlignment="1" applyProtection="1">
      <alignment horizontal="center"/>
    </xf>
    <xf numFmtId="3" fontId="4" fillId="0" borderId="9" xfId="1" applyNumberFormat="1" applyFont="1" applyBorder="1" applyAlignment="1" applyProtection="1"/>
    <xf numFmtId="3" fontId="4" fillId="0" borderId="7" xfId="1" applyNumberFormat="1" applyFont="1" applyFill="1" applyBorder="1" applyAlignment="1" applyProtection="1">
      <alignment horizontal="right"/>
    </xf>
    <xf numFmtId="3" fontId="4" fillId="0" borderId="7" xfId="1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left"/>
    </xf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 applyProtection="1"/>
    <xf numFmtId="3" fontId="4" fillId="0" borderId="7" xfId="1" applyNumberFormat="1" applyFont="1" applyBorder="1" applyAlignment="1">
      <alignment horizontal="center"/>
    </xf>
    <xf numFmtId="169" fontId="4" fillId="0" borderId="0" xfId="0" applyFont="1"/>
    <xf numFmtId="170" fontId="4" fillId="0" borderId="9" xfId="1" applyNumberFormat="1" applyFont="1" applyBorder="1" applyAlignment="1" applyProtection="1">
      <alignment horizontal="center"/>
    </xf>
    <xf numFmtId="37" fontId="4" fillId="0" borderId="9" xfId="0" applyNumberFormat="1" applyFont="1" applyBorder="1" applyAlignment="1" applyProtection="1">
      <alignment horizontal="left"/>
    </xf>
    <xf numFmtId="170" fontId="4" fillId="0" borderId="7" xfId="1" applyNumberFormat="1" applyFont="1" applyBorder="1" applyAlignment="1" applyProtection="1">
      <alignment horizontal="right"/>
    </xf>
    <xf numFmtId="170" fontId="4" fillId="0" borderId="7" xfId="1" applyNumberFormat="1" applyFont="1" applyFill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3" fontId="4" fillId="0" borderId="3" xfId="0" applyNumberFormat="1" applyFont="1" applyBorder="1" applyAlignment="1" applyProtection="1">
      <alignment horizontal="fill"/>
    </xf>
    <xf numFmtId="3" fontId="4" fillId="0" borderId="10" xfId="0" applyNumberFormat="1" applyFont="1" applyBorder="1" applyAlignment="1" applyProtection="1">
      <alignment horizontal="fill"/>
    </xf>
    <xf numFmtId="3" fontId="4" fillId="0" borderId="8" xfId="0" applyNumberFormat="1" applyFont="1" applyBorder="1" applyAlignment="1" applyProtection="1">
      <alignment horizontal="fill"/>
    </xf>
    <xf numFmtId="3" fontId="4" fillId="0" borderId="8" xfId="1" applyNumberFormat="1" applyFont="1" applyBorder="1" applyProtection="1"/>
    <xf numFmtId="3" fontId="4" fillId="0" borderId="10" xfId="1" applyNumberFormat="1" applyFont="1" applyBorder="1" applyProtection="1"/>
    <xf numFmtId="3" fontId="4" fillId="0" borderId="10" xfId="1" applyNumberFormat="1" applyFont="1" applyBorder="1" applyAlignment="1" applyProtection="1">
      <alignment horizontal="right"/>
    </xf>
    <xf numFmtId="3" fontId="4" fillId="0" borderId="9" xfId="0" applyNumberFormat="1" applyFont="1" applyBorder="1" applyAlignment="1" applyProtection="1">
      <alignment horizontal="fill"/>
    </xf>
    <xf numFmtId="3" fontId="4" fillId="0" borderId="8" xfId="1" applyNumberFormat="1" applyFont="1" applyBorder="1" applyAlignment="1" applyProtection="1">
      <alignment horizontal="right"/>
    </xf>
    <xf numFmtId="3" fontId="4" fillId="0" borderId="10" xfId="1" applyNumberFormat="1" applyFont="1" applyBorder="1"/>
    <xf numFmtId="3" fontId="4" fillId="0" borderId="8" xfId="1" applyNumberFormat="1" applyFont="1" applyBorder="1"/>
    <xf numFmtId="3" fontId="4" fillId="0" borderId="8" xfId="0" applyNumberFormat="1" applyFont="1" applyBorder="1"/>
    <xf numFmtId="3" fontId="4" fillId="0" borderId="2" xfId="0" applyNumberFormat="1" applyFont="1" applyBorder="1" applyProtection="1"/>
    <xf numFmtId="3" fontId="4" fillId="0" borderId="1" xfId="0" applyNumberFormat="1" applyFont="1" applyBorder="1" applyProtection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6" xfId="0" applyNumberFormat="1" applyFont="1" applyBorder="1"/>
    <xf numFmtId="3" fontId="4" fillId="0" borderId="9" xfId="0" applyNumberFormat="1" applyFont="1" applyBorder="1"/>
    <xf numFmtId="3" fontId="4" fillId="0" borderId="1" xfId="1" applyNumberFormat="1" applyFont="1" applyBorder="1" applyAlignment="1" applyProtection="1">
      <alignment horizontal="right"/>
    </xf>
    <xf numFmtId="3" fontId="4" fillId="0" borderId="1" xfId="1" applyNumberFormat="1" applyFont="1" applyBorder="1" applyProtection="1"/>
    <xf numFmtId="3" fontId="4" fillId="0" borderId="1" xfId="1" applyNumberFormat="1" applyFont="1" applyBorder="1"/>
    <xf numFmtId="169" fontId="4" fillId="0" borderId="9" xfId="0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fill"/>
    </xf>
    <xf numFmtId="3" fontId="4" fillId="0" borderId="3" xfId="0" applyNumberFormat="1" applyFont="1" applyBorder="1"/>
    <xf numFmtId="3" fontId="4" fillId="0" borderId="3" xfId="1" applyNumberFormat="1" applyFont="1" applyBorder="1" applyProtection="1"/>
    <xf numFmtId="3" fontId="4" fillId="0" borderId="10" xfId="0" applyNumberFormat="1" applyFont="1" applyBorder="1"/>
    <xf numFmtId="171" fontId="4" fillId="0" borderId="2" xfId="1" applyNumberFormat="1" applyFont="1" applyBorder="1" applyProtection="1"/>
    <xf numFmtId="3" fontId="4" fillId="0" borderId="2" xfId="1" applyNumberFormat="1" applyFont="1" applyBorder="1"/>
    <xf numFmtId="3" fontId="4" fillId="0" borderId="2" xfId="1" applyNumberFormat="1" applyFont="1" applyBorder="1" applyAlignment="1" applyProtection="1">
      <alignment horizontal="right"/>
    </xf>
    <xf numFmtId="3" fontId="4" fillId="0" borderId="0" xfId="0" applyNumberFormat="1" applyFont="1" applyBorder="1"/>
    <xf numFmtId="171" fontId="4" fillId="0" borderId="3" xfId="1" applyNumberFormat="1" applyFont="1" applyBorder="1" applyProtection="1"/>
    <xf numFmtId="3" fontId="4" fillId="0" borderId="3" xfId="1" applyNumberFormat="1" applyFont="1" applyBorder="1" applyAlignment="1" applyProtection="1">
      <alignment horizontal="right"/>
    </xf>
    <xf numFmtId="3" fontId="4" fillId="0" borderId="3" xfId="1" applyNumberFormat="1" applyFont="1" applyBorder="1"/>
    <xf numFmtId="3" fontId="4" fillId="0" borderId="3" xfId="1" applyNumberFormat="1" applyFont="1" applyFill="1" applyBorder="1"/>
    <xf numFmtId="169" fontId="4" fillId="0" borderId="9" xfId="0" applyFont="1" applyBorder="1" applyAlignment="1">
      <alignment horizontal="fill"/>
    </xf>
    <xf numFmtId="37" fontId="4" fillId="0" borderId="0" xfId="0" applyNumberFormat="1" applyFont="1" applyBorder="1" applyAlignment="1" applyProtection="1">
      <alignment horizontal="fill"/>
    </xf>
    <xf numFmtId="37" fontId="4" fillId="0" borderId="7" xfId="0" applyNumberFormat="1" applyFont="1" applyBorder="1" applyAlignment="1" applyProtection="1">
      <alignment horizontal="fill"/>
    </xf>
    <xf numFmtId="169" fontId="4" fillId="0" borderId="7" xfId="0" applyFont="1" applyBorder="1" applyAlignment="1">
      <alignment horizontal="fill"/>
    </xf>
    <xf numFmtId="37" fontId="4" fillId="0" borderId="9" xfId="0" applyNumberFormat="1" applyFont="1" applyBorder="1" applyAlignment="1" applyProtection="1">
      <alignment horizontal="fill"/>
    </xf>
    <xf numFmtId="171" fontId="4" fillId="0" borderId="7" xfId="1" applyNumberFormat="1" applyFont="1" applyBorder="1" applyProtection="1"/>
    <xf numFmtId="171" fontId="4" fillId="0" borderId="9" xfId="1" applyNumberFormat="1" applyFont="1" applyBorder="1" applyProtection="1"/>
    <xf numFmtId="37" fontId="4" fillId="0" borderId="1" xfId="0" applyNumberFormat="1" applyFont="1" applyBorder="1" applyAlignment="1" applyProtection="1">
      <alignment horizontal="fill"/>
    </xf>
    <xf numFmtId="37" fontId="4" fillId="0" borderId="6" xfId="0" applyNumberFormat="1" applyFont="1" applyBorder="1" applyAlignment="1" applyProtection="1">
      <alignment horizontal="fill"/>
    </xf>
    <xf numFmtId="3" fontId="4" fillId="0" borderId="4" xfId="1" applyNumberFormat="1" applyFont="1" applyBorder="1" applyAlignment="1">
      <alignment horizontal="right"/>
    </xf>
    <xf numFmtId="169" fontId="4" fillId="0" borderId="0" xfId="0" applyFont="1" applyBorder="1" applyAlignment="1">
      <alignment horizontal="fill"/>
    </xf>
    <xf numFmtId="3" fontId="4" fillId="0" borderId="0" xfId="0" applyNumberFormat="1" applyFont="1" applyBorder="1" applyAlignment="1">
      <alignment horizontal="fill"/>
    </xf>
    <xf numFmtId="3" fontId="4" fillId="0" borderId="9" xfId="0" applyNumberFormat="1" applyFont="1" applyBorder="1" applyAlignment="1">
      <alignment horizontal="fill"/>
    </xf>
    <xf numFmtId="3" fontId="4" fillId="0" borderId="7" xfId="0" applyNumberFormat="1" applyFont="1" applyBorder="1" applyAlignment="1">
      <alignment horizontal="fill"/>
    </xf>
    <xf numFmtId="3" fontId="4" fillId="0" borderId="10" xfId="0" applyNumberFormat="1" applyFont="1" applyBorder="1" applyAlignment="1">
      <alignment horizontal="fill"/>
    </xf>
    <xf numFmtId="3" fontId="4" fillId="0" borderId="1" xfId="0" applyNumberFormat="1" applyFont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/>
    </xf>
    <xf numFmtId="3" fontId="4" fillId="0" borderId="6" xfId="1" applyNumberFormat="1" applyFont="1" applyBorder="1" applyProtection="1"/>
    <xf numFmtId="3" fontId="4" fillId="0" borderId="6" xfId="1" applyNumberFormat="1" applyFont="1" applyBorder="1"/>
    <xf numFmtId="169" fontId="4" fillId="0" borderId="10" xfId="0" applyFont="1" applyBorder="1"/>
    <xf numFmtId="169" fontId="4" fillId="0" borderId="11" xfId="0" applyFont="1" applyBorder="1"/>
    <xf numFmtId="169" fontId="7" fillId="0" borderId="0" xfId="0" applyFont="1" applyBorder="1"/>
    <xf numFmtId="9" fontId="4" fillId="0" borderId="0" xfId="3" applyFont="1" applyBorder="1"/>
    <xf numFmtId="3" fontId="4" fillId="0" borderId="7" xfId="0" applyNumberFormat="1" applyFont="1" applyFill="1" applyBorder="1"/>
    <xf numFmtId="169" fontId="4" fillId="0" borderId="7" xfId="0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right"/>
    </xf>
    <xf numFmtId="169" fontId="4" fillId="0" borderId="7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7" fontId="5" fillId="0" borderId="11" xfId="0" applyNumberFormat="1" applyFont="1" applyBorder="1" applyAlignment="1" applyProtection="1">
      <alignment horizontal="center"/>
    </xf>
    <xf numFmtId="167" fontId="5" fillId="0" borderId="3" xfId="0" applyNumberFormat="1" applyFont="1" applyBorder="1" applyAlignment="1" applyProtection="1">
      <alignment horizontal="center"/>
    </xf>
    <xf numFmtId="3" fontId="4" fillId="0" borderId="2" xfId="1" applyNumberFormat="1" applyFont="1" applyFill="1" applyBorder="1"/>
    <xf numFmtId="169" fontId="4" fillId="0" borderId="4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right"/>
    </xf>
    <xf numFmtId="169" fontId="4" fillId="0" borderId="7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7" fontId="5" fillId="0" borderId="10" xfId="0" applyNumberFormat="1" applyFont="1" applyBorder="1" applyAlignment="1" applyProtection="1">
      <alignment horizontal="left"/>
    </xf>
    <xf numFmtId="167" fontId="5" fillId="0" borderId="9" xfId="0" applyNumberFormat="1" applyFont="1" applyBorder="1" applyAlignment="1" applyProtection="1">
      <alignment horizontal="right"/>
    </xf>
    <xf numFmtId="167" fontId="5" fillId="0" borderId="9" xfId="0" applyNumberFormat="1" applyFont="1" applyBorder="1" applyAlignment="1" applyProtection="1">
      <alignment horizontal="left"/>
    </xf>
    <xf numFmtId="169" fontId="5" fillId="0" borderId="9" xfId="0" applyFont="1" applyBorder="1" applyAlignment="1">
      <alignment horizontal="left"/>
    </xf>
    <xf numFmtId="169" fontId="5" fillId="0" borderId="4" xfId="0" applyFont="1" applyBorder="1" applyAlignment="1">
      <alignment horizontal="left"/>
    </xf>
    <xf numFmtId="169" fontId="4" fillId="0" borderId="6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169" fontId="6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169" fontId="4" fillId="0" borderId="6" xfId="0" applyFont="1" applyBorder="1" applyAlignment="1">
      <alignment horizontal="center"/>
    </xf>
    <xf numFmtId="169" fontId="4" fillId="0" borderId="2" xfId="0" applyFont="1" applyFill="1" applyBorder="1" applyAlignment="1">
      <alignment horizontal="right"/>
    </xf>
    <xf numFmtId="169" fontId="4" fillId="0" borderId="6" xfId="0" applyFont="1" applyBorder="1" applyAlignment="1">
      <alignment horizontal="center"/>
    </xf>
    <xf numFmtId="167" fontId="4" fillId="0" borderId="9" xfId="0" applyNumberFormat="1" applyFont="1" applyFill="1" applyBorder="1" applyAlignment="1" applyProtection="1">
      <alignment horizontal="left"/>
    </xf>
    <xf numFmtId="169" fontId="4" fillId="0" borderId="0" xfId="0" applyFont="1" applyFill="1" applyBorder="1"/>
    <xf numFmtId="37" fontId="4" fillId="0" borderId="0" xfId="0" applyNumberFormat="1" applyFont="1" applyFill="1" applyBorder="1" applyProtection="1"/>
    <xf numFmtId="3" fontId="4" fillId="0" borderId="0" xfId="1" applyNumberFormat="1" applyFont="1" applyFill="1" applyBorder="1" applyProtection="1"/>
    <xf numFmtId="3" fontId="4" fillId="0" borderId="9" xfId="1" applyNumberFormat="1" applyFont="1" applyFill="1" applyBorder="1" applyProtection="1"/>
    <xf numFmtId="3" fontId="4" fillId="0" borderId="9" xfId="1" applyNumberFormat="1" applyFont="1" applyFill="1" applyBorder="1" applyAlignment="1" applyProtection="1">
      <alignment horizontal="right"/>
    </xf>
    <xf numFmtId="3" fontId="4" fillId="0" borderId="0" xfId="1" applyNumberFormat="1" applyFont="1" applyFill="1" applyBorder="1" applyAlignment="1" applyProtection="1">
      <alignment horizontal="right"/>
    </xf>
    <xf numFmtId="3" fontId="4" fillId="0" borderId="9" xfId="1" applyNumberFormat="1" applyFont="1" applyFill="1" applyBorder="1" applyAlignment="1" applyProtection="1">
      <alignment horizontal="center"/>
    </xf>
    <xf numFmtId="3" fontId="4" fillId="0" borderId="9" xfId="1" applyNumberFormat="1" applyFont="1" applyFill="1" applyBorder="1"/>
    <xf numFmtId="3" fontId="4" fillId="0" borderId="9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Protection="1"/>
    <xf numFmtId="3" fontId="0" fillId="0" borderId="0" xfId="1" applyNumberFormat="1" applyFont="1" applyFill="1" applyBorder="1" applyProtection="1"/>
    <xf numFmtId="3" fontId="0" fillId="0" borderId="0" xfId="1" applyNumberFormat="1" applyFont="1" applyFill="1" applyBorder="1"/>
    <xf numFmtId="169" fontId="0" fillId="0" borderId="0" xfId="0" applyFill="1"/>
    <xf numFmtId="3" fontId="4" fillId="2" borderId="7" xfId="0" applyNumberFormat="1" applyFont="1" applyFill="1" applyBorder="1"/>
    <xf numFmtId="169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1" applyNumberFormat="1" applyFont="1" applyBorder="1" applyProtection="1"/>
    <xf numFmtId="3" fontId="5" fillId="0" borderId="9" xfId="1" applyNumberFormat="1" applyFont="1" applyBorder="1" applyProtection="1"/>
    <xf numFmtId="3" fontId="5" fillId="0" borderId="7" xfId="1" applyNumberFormat="1" applyFont="1" applyBorder="1" applyProtection="1"/>
    <xf numFmtId="3" fontId="5" fillId="0" borderId="9" xfId="1" applyNumberFormat="1" applyFont="1" applyBorder="1"/>
    <xf numFmtId="169" fontId="3" fillId="0" borderId="0" xfId="0" applyFont="1"/>
    <xf numFmtId="3" fontId="5" fillId="0" borderId="9" xfId="1" applyNumberFormat="1" applyFont="1" applyBorder="1" applyAlignment="1" applyProtection="1">
      <alignment horizontal="center"/>
    </xf>
    <xf numFmtId="3" fontId="5" fillId="0" borderId="9" xfId="1" applyNumberFormat="1" applyFont="1" applyBorder="1" applyAlignment="1" applyProtection="1">
      <alignment horizontal="right"/>
    </xf>
    <xf numFmtId="3" fontId="3" fillId="0" borderId="0" xfId="1" applyNumberFormat="1" applyFont="1" applyBorder="1" applyProtection="1"/>
    <xf numFmtId="3" fontId="5" fillId="0" borderId="7" xfId="1" applyNumberFormat="1" applyFont="1" applyBorder="1" applyAlignment="1" applyProtection="1">
      <alignment horizontal="right"/>
    </xf>
    <xf numFmtId="3" fontId="5" fillId="0" borderId="0" xfId="0" applyNumberFormat="1" applyFont="1" applyBorder="1" applyProtection="1"/>
    <xf numFmtId="3" fontId="5" fillId="0" borderId="0" xfId="0" applyNumberFormat="1" applyFont="1" applyBorder="1" applyAlignment="1" applyProtection="1">
      <alignment horizontal="fill"/>
    </xf>
    <xf numFmtId="3" fontId="5" fillId="0" borderId="9" xfId="0" applyNumberFormat="1" applyFont="1" applyBorder="1" applyProtection="1"/>
    <xf numFmtId="3" fontId="5" fillId="0" borderId="9" xfId="0" applyNumberFormat="1" applyFont="1" applyBorder="1" applyAlignment="1" applyProtection="1">
      <alignment horizontal="right"/>
    </xf>
    <xf numFmtId="3" fontId="5" fillId="0" borderId="7" xfId="0" applyNumberFormat="1" applyFont="1" applyBorder="1" applyProtection="1"/>
    <xf numFmtId="3" fontId="5" fillId="0" borderId="9" xfId="0" applyNumberFormat="1" applyFont="1" applyBorder="1"/>
    <xf numFmtId="3" fontId="3" fillId="0" borderId="0" xfId="0" applyNumberFormat="1" applyFont="1" applyBorder="1" applyProtection="1"/>
    <xf numFmtId="169" fontId="4" fillId="0" borderId="2" xfId="0" applyFont="1" applyFill="1" applyBorder="1"/>
    <xf numFmtId="169" fontId="5" fillId="0" borderId="0" xfId="0" applyFont="1" applyFill="1" applyBorder="1" applyAlignment="1">
      <alignment horizontal="center"/>
    </xf>
    <xf numFmtId="169" fontId="0" fillId="0" borderId="0" xfId="0" applyFill="1" applyBorder="1" applyAlignment="1">
      <alignment horizontal="center"/>
    </xf>
    <xf numFmtId="169" fontId="0" fillId="0" borderId="0" xfId="0" applyFill="1" applyBorder="1"/>
    <xf numFmtId="167" fontId="5" fillId="0" borderId="3" xfId="0" applyNumberFormat="1" applyFont="1" applyFill="1" applyBorder="1" applyAlignment="1" applyProtection="1">
      <alignment horizontal="center"/>
    </xf>
    <xf numFmtId="169" fontId="4" fillId="0" borderId="6" xfId="0" applyFont="1" applyFill="1" applyBorder="1" applyAlignment="1">
      <alignment horizontal="center"/>
    </xf>
    <xf numFmtId="169" fontId="4" fillId="0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169" fontId="4" fillId="0" borderId="0" xfId="0" applyFont="1" applyFill="1"/>
    <xf numFmtId="169" fontId="0" fillId="0" borderId="0" xfId="0" applyFont="1" applyBorder="1"/>
    <xf numFmtId="169" fontId="0" fillId="0" borderId="0" xfId="0" applyFont="1"/>
    <xf numFmtId="3" fontId="2" fillId="0" borderId="0" xfId="1" applyNumberFormat="1" applyFont="1" applyBorder="1" applyProtection="1"/>
    <xf numFmtId="3" fontId="2" fillId="0" borderId="0" xfId="1" applyNumberFormat="1" applyFont="1" applyBorder="1"/>
    <xf numFmtId="3" fontId="2" fillId="0" borderId="0" xfId="1" applyNumberFormat="1" applyFont="1" applyBorder="1" applyAlignment="1" applyProtection="1">
      <alignment horizontal="right"/>
    </xf>
    <xf numFmtId="169" fontId="4" fillId="2" borderId="2" xfId="0" applyFont="1" applyFill="1" applyBorder="1" applyAlignment="1">
      <alignment horizontal="right"/>
    </xf>
    <xf numFmtId="169" fontId="5" fillId="2" borderId="0" xfId="0" applyFont="1" applyFill="1" applyBorder="1" applyAlignment="1">
      <alignment horizontal="center"/>
    </xf>
    <xf numFmtId="169" fontId="0" fillId="2" borderId="0" xfId="0" applyFill="1" applyBorder="1" applyAlignment="1">
      <alignment horizontal="center"/>
    </xf>
    <xf numFmtId="169" fontId="0" fillId="2" borderId="0" xfId="0" applyFill="1" applyBorder="1"/>
    <xf numFmtId="167" fontId="5" fillId="2" borderId="3" xfId="0" applyNumberFormat="1" applyFont="1" applyFill="1" applyBorder="1" applyAlignment="1" applyProtection="1">
      <alignment horizontal="center"/>
    </xf>
    <xf numFmtId="169" fontId="4" fillId="2" borderId="6" xfId="0" applyFont="1" applyFill="1" applyBorder="1" applyAlignment="1">
      <alignment horizontal="center"/>
    </xf>
    <xf numFmtId="169" fontId="4" fillId="2" borderId="8" xfId="0" applyFont="1" applyFill="1" applyBorder="1"/>
    <xf numFmtId="3" fontId="4" fillId="2" borderId="7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9" fontId="0" fillId="2" borderId="0" xfId="0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9" fontId="4" fillId="2" borderId="2" xfId="0" applyFont="1" applyFill="1" applyBorder="1"/>
    <xf numFmtId="169" fontId="4" fillId="2" borderId="0" xfId="0" applyFont="1" applyFill="1" applyBorder="1"/>
    <xf numFmtId="169" fontId="4" fillId="2" borderId="0" xfId="0" applyFont="1" applyFill="1"/>
    <xf numFmtId="169" fontId="0" fillId="2" borderId="0" xfId="0" applyFill="1"/>
    <xf numFmtId="3" fontId="4" fillId="2" borderId="1" xfId="0" applyNumberFormat="1" applyFont="1" applyFill="1" applyBorder="1"/>
    <xf numFmtId="169" fontId="0" fillId="0" borderId="0" xfId="0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0" borderId="7" xfId="1" applyNumberFormat="1" applyFont="1" applyFill="1" applyBorder="1" applyProtection="1"/>
    <xf numFmtId="0" fontId="4" fillId="2" borderId="0" xfId="0" applyNumberFormat="1" applyFont="1" applyFill="1"/>
    <xf numFmtId="169" fontId="4" fillId="2" borderId="6" xfId="0" applyFont="1" applyFill="1" applyBorder="1" applyAlignment="1">
      <alignment horizontal="center"/>
    </xf>
    <xf numFmtId="169" fontId="4" fillId="2" borderId="6" xfId="0" applyFont="1" applyFill="1" applyBorder="1" applyAlignment="1">
      <alignment horizontal="center"/>
    </xf>
    <xf numFmtId="169" fontId="4" fillId="2" borderId="6" xfId="0" applyFont="1" applyFill="1" applyBorder="1" applyAlignment="1">
      <alignment horizontal="center"/>
    </xf>
    <xf numFmtId="169" fontId="4" fillId="2" borderId="6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9" fontId="4" fillId="0" borderId="7" xfId="0" applyFont="1" applyBorder="1" applyAlignment="1">
      <alignment horizontal="center"/>
    </xf>
    <xf numFmtId="169" fontId="4" fillId="2" borderId="7" xfId="0" applyFont="1" applyFill="1" applyBorder="1" applyAlignment="1">
      <alignment horizontal="center"/>
    </xf>
    <xf numFmtId="167" fontId="5" fillId="2" borderId="0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>
      <alignment horizontal="right"/>
    </xf>
    <xf numFmtId="169" fontId="0" fillId="2" borderId="1" xfId="0" applyFill="1" applyBorder="1"/>
    <xf numFmtId="169" fontId="0" fillId="2" borderId="9" xfId="0" applyFill="1" applyBorder="1"/>
    <xf numFmtId="169" fontId="0" fillId="2" borderId="10" xfId="0" applyFill="1" applyBorder="1"/>
    <xf numFmtId="3" fontId="4" fillId="2" borderId="9" xfId="0" applyNumberFormat="1" applyFont="1" applyFill="1" applyBorder="1"/>
    <xf numFmtId="167" fontId="5" fillId="0" borderId="0" xfId="0" applyNumberFormat="1" applyFont="1" applyFill="1" applyBorder="1" applyAlignment="1" applyProtection="1">
      <alignment horizontal="center"/>
    </xf>
    <xf numFmtId="169" fontId="4" fillId="0" borderId="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9" fontId="4" fillId="0" borderId="6" xfId="0" applyFont="1" applyBorder="1" applyAlignment="1">
      <alignment horizontal="center"/>
    </xf>
    <xf numFmtId="169" fontId="4" fillId="2" borderId="7" xfId="0" applyFont="1" applyFill="1" applyBorder="1" applyAlignment="1">
      <alignment horizontal="center"/>
    </xf>
    <xf numFmtId="173" fontId="0" fillId="0" borderId="0" xfId="1" applyNumberFormat="1" applyFont="1" applyBorder="1" applyAlignment="1" applyProtection="1">
      <alignment horizontal="right"/>
    </xf>
    <xf numFmtId="169" fontId="4" fillId="0" borderId="7" xfId="0" applyFont="1" applyFill="1" applyBorder="1" applyAlignment="1">
      <alignment horizontal="left"/>
    </xf>
    <xf numFmtId="39" fontId="4" fillId="0" borderId="2" xfId="0" applyNumberFormat="1" applyFont="1" applyBorder="1" applyProtection="1"/>
    <xf numFmtId="174" fontId="4" fillId="0" borderId="9" xfId="0" applyNumberFormat="1" applyFont="1" applyFill="1" applyBorder="1" applyAlignment="1">
      <alignment horizontal="right"/>
    </xf>
    <xf numFmtId="175" fontId="0" fillId="2" borderId="0" xfId="0" applyNumberFormat="1" applyFill="1" applyBorder="1"/>
    <xf numFmtId="169" fontId="4" fillId="2" borderId="7" xfId="0" applyFont="1" applyFill="1" applyBorder="1" applyAlignment="1">
      <alignment horizontal="center"/>
    </xf>
    <xf numFmtId="169" fontId="0" fillId="2" borderId="0" xfId="0" applyFont="1" applyFill="1"/>
    <xf numFmtId="164" fontId="4" fillId="0" borderId="9" xfId="0" applyNumberFormat="1" applyFont="1" applyFill="1" applyBorder="1" applyAlignment="1">
      <alignment horizontal="center"/>
    </xf>
    <xf numFmtId="169" fontId="4" fillId="2" borderId="7" xfId="0" applyFont="1" applyFill="1" applyBorder="1" applyAlignment="1">
      <alignment horizontal="center"/>
    </xf>
    <xf numFmtId="169" fontId="4" fillId="2" borderId="7" xfId="0" applyFont="1" applyFill="1" applyBorder="1" applyAlignment="1">
      <alignment horizontal="center"/>
    </xf>
    <xf numFmtId="3" fontId="5" fillId="0" borderId="7" xfId="1" applyNumberFormat="1" applyFont="1" applyBorder="1" applyAlignment="1" applyProtection="1">
      <alignment horizontal="center"/>
    </xf>
    <xf numFmtId="169" fontId="0" fillId="3" borderId="0" xfId="0" applyFill="1"/>
    <xf numFmtId="169" fontId="4" fillId="3" borderId="0" xfId="0" applyFont="1" applyFill="1" applyBorder="1"/>
    <xf numFmtId="169" fontId="4" fillId="3" borderId="0" xfId="0" applyFont="1" applyFill="1"/>
    <xf numFmtId="169" fontId="5" fillId="0" borderId="6" xfId="0" applyFont="1" applyFill="1" applyBorder="1" applyAlignment="1">
      <alignment horizontal="right"/>
    </xf>
    <xf numFmtId="169" fontId="0" fillId="0" borderId="7" xfId="0" applyFill="1" applyBorder="1" applyAlignment="1">
      <alignment horizontal="center"/>
    </xf>
    <xf numFmtId="169" fontId="5" fillId="0" borderId="7" xfId="0" applyFont="1" applyFill="1" applyBorder="1" applyAlignment="1">
      <alignment horizontal="center"/>
    </xf>
    <xf numFmtId="169" fontId="5" fillId="0" borderId="8" xfId="0" applyFont="1" applyFill="1" applyBorder="1" applyAlignment="1">
      <alignment horizontal="center"/>
    </xf>
    <xf numFmtId="169" fontId="0" fillId="0" borderId="1" xfId="0" applyFill="1" applyBorder="1"/>
    <xf numFmtId="169" fontId="0" fillId="0" borderId="9" xfId="0" applyFill="1" applyBorder="1"/>
    <xf numFmtId="169" fontId="0" fillId="0" borderId="10" xfId="0" applyFill="1" applyBorder="1"/>
    <xf numFmtId="176" fontId="0" fillId="0" borderId="0" xfId="0" applyNumberFormat="1" applyFill="1"/>
    <xf numFmtId="2" fontId="0" fillId="0" borderId="0" xfId="0" applyNumberFormat="1" applyFill="1"/>
    <xf numFmtId="169" fontId="0" fillId="2" borderId="2" xfId="0" applyFont="1" applyFill="1" applyBorder="1"/>
    <xf numFmtId="177" fontId="4" fillId="0" borderId="9" xfId="0" applyNumberFormat="1" applyFont="1" applyFill="1" applyBorder="1" applyAlignment="1">
      <alignment horizontal="right"/>
    </xf>
    <xf numFmtId="179" fontId="0" fillId="2" borderId="0" xfId="0" applyNumberFormat="1" applyFill="1" applyBorder="1"/>
    <xf numFmtId="180" fontId="5" fillId="0" borderId="9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180" fontId="4" fillId="0" borderId="1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0" fontId="0" fillId="0" borderId="1" xfId="0" applyNumberFormat="1" applyFill="1" applyBorder="1"/>
    <xf numFmtId="180" fontId="0" fillId="0" borderId="9" xfId="0" applyNumberFormat="1" applyFill="1" applyBorder="1"/>
    <xf numFmtId="180" fontId="5" fillId="0" borderId="7" xfId="1" applyNumberFormat="1" applyFont="1" applyBorder="1" applyAlignment="1" applyProtection="1">
      <alignment horizontal="center"/>
    </xf>
    <xf numFmtId="180" fontId="0" fillId="0" borderId="10" xfId="0" applyNumberFormat="1" applyFill="1" applyBorder="1"/>
    <xf numFmtId="180" fontId="0" fillId="0" borderId="0" xfId="0" applyNumberFormat="1" applyFont="1" applyFill="1"/>
    <xf numFmtId="180" fontId="0" fillId="0" borderId="1" xfId="0" applyNumberFormat="1" applyFont="1" applyFill="1" applyBorder="1"/>
    <xf numFmtId="180" fontId="0" fillId="0" borderId="9" xfId="0" applyNumberFormat="1" applyFont="1" applyFill="1" applyBorder="1"/>
    <xf numFmtId="180" fontId="0" fillId="0" borderId="10" xfId="0" applyNumberFormat="1" applyFont="1" applyFill="1" applyBorder="1"/>
    <xf numFmtId="169" fontId="0" fillId="3" borderId="0" xfId="0" applyFont="1" applyFill="1"/>
    <xf numFmtId="180" fontId="4" fillId="0" borderId="7" xfId="1" applyNumberFormat="1" applyFont="1" applyBorder="1" applyAlignment="1" applyProtection="1">
      <alignment horizontal="center"/>
    </xf>
    <xf numFmtId="180" fontId="4" fillId="0" borderId="9" xfId="0" applyNumberFormat="1" applyFont="1" applyFill="1" applyBorder="1" applyAlignment="1">
      <alignment horizontal="center"/>
    </xf>
    <xf numFmtId="181" fontId="0" fillId="0" borderId="0" xfId="0" applyNumberFormat="1" applyFont="1" applyFill="1"/>
    <xf numFmtId="1" fontId="5" fillId="0" borderId="9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/>
    </xf>
    <xf numFmtId="182" fontId="0" fillId="0" borderId="0" xfId="0" applyNumberFormat="1" applyFont="1" applyFill="1"/>
    <xf numFmtId="183" fontId="0" fillId="0" borderId="0" xfId="0" applyNumberFormat="1" applyFont="1" applyFill="1"/>
    <xf numFmtId="180" fontId="5" fillId="0" borderId="9" xfId="0" applyNumberFormat="1" applyFont="1" applyFill="1" applyBorder="1" applyAlignment="1">
      <alignment horizontal="center"/>
    </xf>
    <xf numFmtId="169" fontId="0" fillId="0" borderId="2" xfId="0" applyFont="1" applyFill="1" applyBorder="1"/>
    <xf numFmtId="169" fontId="0" fillId="0" borderId="0" xfId="0" applyFont="1" applyFill="1"/>
    <xf numFmtId="169" fontId="0" fillId="0" borderId="1" xfId="0" applyFont="1" applyFill="1" applyBorder="1"/>
    <xf numFmtId="169" fontId="0" fillId="0" borderId="9" xfId="0" applyFont="1" applyFill="1" applyBorder="1"/>
    <xf numFmtId="169" fontId="0" fillId="0" borderId="10" xfId="0" applyFont="1" applyFill="1" applyBorder="1"/>
    <xf numFmtId="169" fontId="4" fillId="0" borderId="3" xfId="0" applyFont="1" applyFill="1" applyBorder="1"/>
    <xf numFmtId="180" fontId="4" fillId="0" borderId="7" xfId="1" applyNumberFormat="1" applyFont="1" applyFill="1" applyBorder="1" applyAlignment="1" applyProtection="1">
      <alignment horizontal="center"/>
    </xf>
    <xf numFmtId="180" fontId="5" fillId="0" borderId="7" xfId="1" applyNumberFormat="1" applyFont="1" applyFill="1" applyBorder="1" applyAlignment="1" applyProtection="1">
      <alignment horizontal="center"/>
    </xf>
    <xf numFmtId="169" fontId="4" fillId="2" borderId="7" xfId="0" applyFont="1" applyFill="1" applyBorder="1" applyAlignment="1">
      <alignment horizontal="center"/>
    </xf>
    <xf numFmtId="169" fontId="4" fillId="0" borderId="7" xfId="0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>
      <alignment horizontal="center"/>
    </xf>
    <xf numFmtId="180" fontId="5" fillId="2" borderId="9" xfId="0" applyNumberFormat="1" applyFont="1" applyFill="1" applyBorder="1" applyAlignment="1">
      <alignment horizontal="right"/>
    </xf>
    <xf numFmtId="1" fontId="5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80" fontId="5" fillId="2" borderId="9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right"/>
    </xf>
    <xf numFmtId="180" fontId="4" fillId="2" borderId="10" xfId="0" applyNumberFormat="1" applyFont="1" applyFill="1" applyBorder="1" applyAlignment="1">
      <alignment horizontal="right"/>
    </xf>
    <xf numFmtId="181" fontId="0" fillId="2" borderId="0" xfId="0" applyNumberFormat="1" applyFont="1" applyFill="1"/>
    <xf numFmtId="183" fontId="0" fillId="2" borderId="0" xfId="0" applyNumberFormat="1" applyFont="1" applyFill="1"/>
    <xf numFmtId="182" fontId="0" fillId="2" borderId="0" xfId="0" applyNumberFormat="1" applyFont="1" applyFill="1"/>
    <xf numFmtId="180" fontId="0" fillId="2" borderId="1" xfId="0" applyNumberFormat="1" applyFont="1" applyFill="1" applyBorder="1"/>
    <xf numFmtId="180" fontId="4" fillId="2" borderId="7" xfId="1" applyNumberFormat="1" applyFont="1" applyFill="1" applyBorder="1" applyAlignment="1" applyProtection="1">
      <alignment horizontal="center"/>
    </xf>
    <xf numFmtId="180" fontId="0" fillId="2" borderId="9" xfId="0" applyNumberFormat="1" applyFont="1" applyFill="1" applyBorder="1"/>
    <xf numFmtId="180" fontId="5" fillId="2" borderId="7" xfId="1" applyNumberFormat="1" applyFont="1" applyFill="1" applyBorder="1" applyAlignment="1" applyProtection="1">
      <alignment horizontal="center"/>
    </xf>
    <xf numFmtId="180" fontId="0" fillId="2" borderId="10" xfId="0" applyNumberFormat="1" applyFont="1" applyFill="1" applyBorder="1"/>
    <xf numFmtId="169" fontId="4" fillId="2" borderId="3" xfId="0" applyFont="1" applyFill="1" applyBorder="1"/>
    <xf numFmtId="169" fontId="4" fillId="0" borderId="6" xfId="0" applyFont="1" applyBorder="1" applyAlignment="1">
      <alignment horizontal="center"/>
    </xf>
    <xf numFmtId="169" fontId="4" fillId="2" borderId="7" xfId="0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right"/>
    </xf>
    <xf numFmtId="177" fontId="5" fillId="2" borderId="9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2" fontId="0" fillId="2" borderId="0" xfId="0" applyNumberFormat="1" applyFill="1"/>
    <xf numFmtId="178" fontId="0" fillId="2" borderId="0" xfId="0" applyNumberFormat="1" applyFill="1"/>
    <xf numFmtId="3" fontId="5" fillId="2" borderId="7" xfId="1" applyNumberFormat="1" applyFont="1" applyFill="1" applyBorder="1" applyAlignment="1" applyProtection="1">
      <alignment horizontal="center"/>
    </xf>
    <xf numFmtId="1" fontId="4" fillId="2" borderId="9" xfId="0" applyNumberFormat="1" applyFont="1" applyFill="1" applyBorder="1" applyAlignment="1">
      <alignment horizontal="right"/>
    </xf>
    <xf numFmtId="1" fontId="5" fillId="2" borderId="9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80" fontId="0" fillId="2" borderId="1" xfId="0" applyNumberFormat="1" applyFill="1" applyBorder="1"/>
    <xf numFmtId="180" fontId="0" fillId="2" borderId="9" xfId="0" applyNumberFormat="1" applyFill="1" applyBorder="1"/>
    <xf numFmtId="180" fontId="0" fillId="2" borderId="10" xfId="0" applyNumberFormat="1" applyFill="1" applyBorder="1"/>
    <xf numFmtId="177" fontId="5" fillId="0" borderId="9" xfId="0" applyNumberFormat="1" applyFont="1" applyFill="1" applyBorder="1" applyAlignment="1">
      <alignment horizontal="right"/>
    </xf>
    <xf numFmtId="169" fontId="4" fillId="2" borderId="9" xfId="0" applyFont="1" applyFill="1" applyBorder="1" applyAlignment="1">
      <alignment vertical="center"/>
    </xf>
    <xf numFmtId="169" fontId="4" fillId="2" borderId="1" xfId="0" applyFont="1" applyFill="1" applyBorder="1" applyAlignment="1">
      <alignment vertical="center"/>
    </xf>
    <xf numFmtId="169" fontId="4" fillId="2" borderId="10" xfId="0" applyFont="1" applyFill="1" applyBorder="1" applyAlignment="1">
      <alignment vertical="center"/>
    </xf>
    <xf numFmtId="169" fontId="4" fillId="0" borderId="6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2" borderId="6" xfId="0" applyFont="1" applyFill="1" applyBorder="1" applyAlignment="1">
      <alignment horizontal="center"/>
    </xf>
    <xf numFmtId="169" fontId="4" fillId="2" borderId="8" xfId="0" applyFont="1" applyFill="1" applyBorder="1" applyAlignment="1">
      <alignment horizontal="center"/>
    </xf>
    <xf numFmtId="169" fontId="4" fillId="0" borderId="1" xfId="0" applyFont="1" applyFill="1" applyBorder="1" applyAlignment="1">
      <alignment horizontal="center"/>
    </xf>
    <xf numFmtId="169" fontId="4" fillId="0" borderId="10" xfId="0" applyFont="1" applyFill="1" applyBorder="1" applyAlignment="1">
      <alignment horizontal="center"/>
    </xf>
    <xf numFmtId="169" fontId="4" fillId="0" borderId="8" xfId="0" applyFont="1" applyFill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2" borderId="5" xfId="0" applyFont="1" applyFill="1" applyBorder="1" applyAlignment="1">
      <alignment horizontal="center" vertical="center"/>
    </xf>
    <xf numFmtId="169" fontId="4" fillId="2" borderId="2" xfId="0" applyFont="1" applyFill="1" applyBorder="1" applyAlignment="1">
      <alignment horizontal="center" vertical="center"/>
    </xf>
    <xf numFmtId="169" fontId="4" fillId="2" borderId="6" xfId="0" applyFont="1" applyFill="1" applyBorder="1" applyAlignment="1">
      <alignment horizontal="center" vertical="center"/>
    </xf>
    <xf numFmtId="169" fontId="4" fillId="2" borderId="4" xfId="0" applyFont="1" applyFill="1" applyBorder="1" applyAlignment="1">
      <alignment horizontal="center" vertical="center"/>
    </xf>
    <xf numFmtId="169" fontId="4" fillId="2" borderId="0" xfId="0" applyFont="1" applyFill="1" applyBorder="1" applyAlignment="1">
      <alignment horizontal="center" vertical="center"/>
    </xf>
    <xf numFmtId="169" fontId="4" fillId="2" borderId="7" xfId="0" applyFont="1" applyFill="1" applyBorder="1" applyAlignment="1">
      <alignment horizontal="center" vertical="center"/>
    </xf>
    <xf numFmtId="169" fontId="4" fillId="2" borderId="11" xfId="0" applyFont="1" applyFill="1" applyBorder="1" applyAlignment="1">
      <alignment horizontal="center" vertical="center"/>
    </xf>
    <xf numFmtId="169" fontId="4" fillId="2" borderId="3" xfId="0" applyFont="1" applyFill="1" applyBorder="1" applyAlignment="1">
      <alignment horizontal="center" vertical="center"/>
    </xf>
    <xf numFmtId="169" fontId="4" fillId="2" borderId="8" xfId="0" applyFont="1" applyFill="1" applyBorder="1" applyAlignment="1">
      <alignment horizontal="center" vertical="center"/>
    </xf>
    <xf numFmtId="169" fontId="4" fillId="0" borderId="5" xfId="0" applyFont="1" applyBorder="1" applyAlignment="1">
      <alignment horizontal="center" vertical="center"/>
    </xf>
    <xf numFmtId="169" fontId="4" fillId="0" borderId="2" xfId="0" applyFont="1" applyBorder="1" applyAlignment="1">
      <alignment horizontal="center" vertical="center"/>
    </xf>
    <xf numFmtId="169" fontId="4" fillId="0" borderId="6" xfId="0" applyFont="1" applyBorder="1" applyAlignment="1">
      <alignment horizontal="center" vertical="center"/>
    </xf>
    <xf numFmtId="169" fontId="4" fillId="0" borderId="4" xfId="0" applyFont="1" applyBorder="1" applyAlignment="1">
      <alignment horizontal="center" vertical="center"/>
    </xf>
    <xf numFmtId="169" fontId="4" fillId="0" borderId="0" xfId="0" applyFont="1" applyBorder="1" applyAlignment="1">
      <alignment horizontal="center" vertical="center"/>
    </xf>
    <xf numFmtId="169" fontId="4" fillId="0" borderId="7" xfId="0" applyFont="1" applyBorder="1" applyAlignment="1">
      <alignment horizontal="center" vertical="center"/>
    </xf>
    <xf numFmtId="169" fontId="4" fillId="0" borderId="11" xfId="0" applyFont="1" applyBorder="1" applyAlignment="1">
      <alignment horizontal="center" vertical="center"/>
    </xf>
    <xf numFmtId="169" fontId="4" fillId="0" borderId="3" xfId="0" applyFont="1" applyBorder="1" applyAlignment="1">
      <alignment horizontal="center" vertical="center"/>
    </xf>
    <xf numFmtId="169" fontId="4" fillId="0" borderId="8" xfId="0" applyFont="1" applyBorder="1" applyAlignment="1">
      <alignment horizontal="center" vertical="center"/>
    </xf>
    <xf numFmtId="167" fontId="6" fillId="0" borderId="4" xfId="0" applyNumberFormat="1" applyFont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167" fontId="5" fillId="0" borderId="4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169" fontId="6" fillId="0" borderId="4" xfId="0" applyFont="1" applyBorder="1" applyAlignment="1">
      <alignment horizontal="center"/>
    </xf>
    <xf numFmtId="169" fontId="6" fillId="0" borderId="0" xfId="0" applyFont="1" applyBorder="1" applyAlignment="1">
      <alignment horizontal="center"/>
    </xf>
    <xf numFmtId="169" fontId="4" fillId="0" borderId="5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6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69" fontId="4" fillId="0" borderId="0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11" xfId="0" applyFont="1" applyBorder="1" applyAlignment="1">
      <alignment horizontal="center"/>
    </xf>
    <xf numFmtId="169" fontId="4" fillId="0" borderId="3" xfId="0" applyFont="1" applyBorder="1" applyAlignment="1">
      <alignment horizontal="center"/>
    </xf>
    <xf numFmtId="169" fontId="4" fillId="0" borderId="8" xfId="0" applyFont="1" applyBorder="1" applyAlignment="1">
      <alignment horizontal="center"/>
    </xf>
    <xf numFmtId="169" fontId="5" fillId="0" borderId="4" xfId="0" applyFont="1" applyBorder="1" applyAlignment="1">
      <alignment horizontal="center"/>
    </xf>
    <xf numFmtId="169" fontId="5" fillId="0" borderId="0" xfId="0" applyFont="1" applyBorder="1" applyAlignment="1">
      <alignment horizontal="center"/>
    </xf>
    <xf numFmtId="169" fontId="4" fillId="2" borderId="1" xfId="0" applyFont="1" applyFill="1" applyBorder="1" applyAlignment="1">
      <alignment horizontal="center" vertical="center"/>
    </xf>
    <xf numFmtId="169" fontId="4" fillId="2" borderId="9" xfId="0" applyFont="1" applyFill="1" applyBorder="1" applyAlignment="1">
      <alignment horizontal="center" vertical="center"/>
    </xf>
    <xf numFmtId="169" fontId="4" fillId="2" borderId="10" xfId="0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933700" y="10763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9</xdr:row>
      <xdr:rowOff>152400</xdr:rowOff>
    </xdr:to>
    <xdr:sp macro="" textlink="">
      <xdr:nvSpPr>
        <xdr:cNvPr id="15395" name="Line 3"/>
        <xdr:cNvSpPr>
          <a:spLocks noChangeShapeType="1"/>
        </xdr:cNvSpPr>
      </xdr:nvSpPr>
      <xdr:spPr bwMode="auto">
        <a:xfrm>
          <a:off x="9525" y="1085850"/>
          <a:ext cx="2924175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926/Documents/dossierisidonie/REEL/Bulletin/Bulletin%202015/Mai/STATS%20PORT'm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598\Downloads\STATS%20PORT(T%20intermediaire%20v%202%20et%20V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  <sheetName val="V.2 Engl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1657">
          <cell r="N11657">
            <v>40</v>
          </cell>
        </row>
        <row r="11666">
          <cell r="N11666">
            <v>1000</v>
          </cell>
        </row>
        <row r="11670">
          <cell r="N11670">
            <v>1150.1799999999998</v>
          </cell>
        </row>
        <row r="11673">
          <cell r="N11673">
            <v>273.30399999999997</v>
          </cell>
        </row>
        <row r="11679">
          <cell r="N11679">
            <v>7.12</v>
          </cell>
        </row>
        <row r="11697">
          <cell r="N11697">
            <v>30</v>
          </cell>
        </row>
        <row r="11700">
          <cell r="N11700">
            <v>46.75</v>
          </cell>
        </row>
        <row r="11702">
          <cell r="N11702">
            <v>2.88</v>
          </cell>
        </row>
        <row r="11710">
          <cell r="N11710">
            <v>0.35</v>
          </cell>
        </row>
        <row r="11713">
          <cell r="N11713">
            <v>2</v>
          </cell>
        </row>
        <row r="11715">
          <cell r="N11715">
            <v>5.4</v>
          </cell>
        </row>
        <row r="11765">
          <cell r="N11765">
            <v>1040</v>
          </cell>
        </row>
        <row r="11774">
          <cell r="N11774">
            <v>940</v>
          </cell>
        </row>
        <row r="11778">
          <cell r="N11778">
            <v>1661.0350000000001</v>
          </cell>
        </row>
        <row r="11781">
          <cell r="N11781">
            <v>349.51000000000005</v>
          </cell>
        </row>
        <row r="11787">
          <cell r="N11787">
            <v>1</v>
          </cell>
        </row>
        <row r="11795">
          <cell r="N11795">
            <v>25.1</v>
          </cell>
        </row>
        <row r="11808">
          <cell r="N11808">
            <v>225.05</v>
          </cell>
        </row>
        <row r="11820">
          <cell r="N11820">
            <v>79.75</v>
          </cell>
        </row>
        <row r="11821">
          <cell r="N11821">
            <v>0.36299999999999999</v>
          </cell>
        </row>
        <row r="11835">
          <cell r="N11835">
            <v>0.2</v>
          </cell>
        </row>
        <row r="12326">
          <cell r="N12326">
            <v>120</v>
          </cell>
        </row>
        <row r="12331">
          <cell r="N12331">
            <v>5.29</v>
          </cell>
        </row>
        <row r="12335">
          <cell r="N12335">
            <v>550</v>
          </cell>
        </row>
        <row r="12339">
          <cell r="N12339">
            <v>8953.4429999999993</v>
          </cell>
        </row>
        <row r="12342">
          <cell r="N12342">
            <v>539.39499999999998</v>
          </cell>
        </row>
        <row r="12357">
          <cell r="N12357">
            <v>5.0999999999999996</v>
          </cell>
        </row>
        <row r="12360">
          <cell r="N12360">
            <v>60</v>
          </cell>
        </row>
        <row r="12366">
          <cell r="N12366">
            <v>1952.55</v>
          </cell>
        </row>
        <row r="12368">
          <cell r="N12368">
            <v>19.8</v>
          </cell>
        </row>
        <row r="12382">
          <cell r="N12382">
            <v>6.5</v>
          </cell>
        </row>
        <row r="12385">
          <cell r="N12385">
            <v>1</v>
          </cell>
        </row>
        <row r="12387">
          <cell r="N12387">
            <v>4.7699999999999996</v>
          </cell>
        </row>
        <row r="12403">
          <cell r="N1240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V143"/>
  <sheetViews>
    <sheetView showGridLines="0" tabSelected="1" view="pageBreakPreview" zoomScaleNormal="100" zoomScaleSheetLayoutView="100" workbookViewId="0">
      <pane xSplit="62" ySplit="10" topLeftCell="BK11" activePane="bottomRight" state="frozen"/>
      <selection pane="topRight" activeCell="BK1" sqref="BK1"/>
      <selection pane="bottomLeft" activeCell="A11" sqref="A11"/>
      <selection pane="bottomRight" activeCell="JN27" sqref="JN27"/>
    </sheetView>
  </sheetViews>
  <sheetFormatPr baseColWidth="10" defaultColWidth="12.6640625" defaultRowHeight="15.75" x14ac:dyDescent="0.25"/>
  <cols>
    <col min="1" max="1" width="33.21875" bestFit="1" customWidth="1"/>
    <col min="2" max="8" width="7.77734375" hidden="1" customWidth="1"/>
    <col min="9" max="13" width="10.77734375" hidden="1" customWidth="1"/>
    <col min="14" max="14" width="8.88671875" hidden="1" customWidth="1"/>
    <col min="15" max="15" width="9.88671875" hidden="1" customWidth="1"/>
    <col min="16" max="18" width="9" hidden="1" customWidth="1"/>
    <col min="19" max="31" width="8.88671875" hidden="1" customWidth="1"/>
    <col min="32" max="35" width="9" hidden="1" customWidth="1"/>
    <col min="36" max="39" width="9.109375" hidden="1" customWidth="1"/>
    <col min="40" max="40" width="9" hidden="1" customWidth="1"/>
    <col min="41" max="41" width="9.109375" hidden="1" customWidth="1"/>
    <col min="42" max="42" width="9" hidden="1" customWidth="1"/>
    <col min="43" max="43" width="8.88671875" hidden="1" customWidth="1"/>
    <col min="44" max="44" width="10" hidden="1" customWidth="1"/>
    <col min="45" max="45" width="8.5546875" hidden="1" customWidth="1"/>
    <col min="46" max="46" width="9.109375" hidden="1" customWidth="1"/>
    <col min="47" max="47" width="8.88671875" hidden="1" customWidth="1"/>
    <col min="48" max="49" width="10" hidden="1" customWidth="1"/>
    <col min="50" max="50" width="9.44140625" hidden="1" customWidth="1"/>
    <col min="51" max="51" width="10" hidden="1" customWidth="1"/>
    <col min="52" max="52" width="8.88671875" style="1" hidden="1" customWidth="1"/>
    <col min="53" max="58" width="9.109375" style="1" hidden="1" customWidth="1"/>
    <col min="59" max="59" width="7.88671875" style="1" hidden="1" customWidth="1"/>
    <col min="60" max="60" width="9.21875" style="1" hidden="1" customWidth="1"/>
    <col min="61" max="62" width="8.77734375" style="1" hidden="1" customWidth="1"/>
    <col min="63" max="63" width="9" style="1" bestFit="1" customWidth="1"/>
    <col min="64" max="67" width="8.88671875" style="1" customWidth="1"/>
    <col min="68" max="68" width="10" style="1" hidden="1" customWidth="1"/>
    <col min="69" max="70" width="9.109375" style="1" hidden="1" customWidth="1"/>
    <col min="71" max="71" width="8.6640625" style="1" hidden="1" customWidth="1"/>
    <col min="72" max="72" width="9.88671875" style="1" hidden="1" customWidth="1"/>
    <col min="73" max="73" width="8.6640625" style="1" hidden="1" customWidth="1"/>
    <col min="74" max="74" width="9.109375" style="1" hidden="1" customWidth="1"/>
    <col min="75" max="75" width="8.6640625" style="1" hidden="1" customWidth="1"/>
    <col min="76" max="77" width="10" style="1" hidden="1" customWidth="1"/>
    <col min="78" max="78" width="9.44140625" style="1" hidden="1" customWidth="1"/>
    <col min="79" max="79" width="10" style="1" hidden="1" customWidth="1"/>
    <col min="80" max="80" width="9.109375" style="1" hidden="1" customWidth="1"/>
    <col min="81" max="82" width="10" style="1" hidden="1" customWidth="1"/>
    <col min="83" max="83" width="9.109375" style="1" hidden="1" customWidth="1"/>
    <col min="84" max="94" width="10" style="1" hidden="1" customWidth="1"/>
    <col min="95" max="106" width="10.6640625" style="1" hidden="1" customWidth="1"/>
    <col min="107" max="107" width="9.109375" hidden="1" customWidth="1"/>
    <col min="108" max="118" width="10.6640625" style="1" hidden="1" customWidth="1"/>
    <col min="119" max="130" width="10.6640625" hidden="1" customWidth="1"/>
    <col min="131" max="132" width="8.109375" hidden="1" customWidth="1"/>
    <col min="133" max="134" width="7.21875" hidden="1" customWidth="1"/>
    <col min="135" max="135" width="8.109375" hidden="1" customWidth="1"/>
    <col min="136" max="137" width="7.21875" hidden="1" customWidth="1"/>
    <col min="138" max="140" width="8.109375" hidden="1" customWidth="1"/>
    <col min="141" max="141" width="8.44140625" hidden="1" customWidth="1"/>
    <col min="142" max="144" width="8.109375" hidden="1" customWidth="1"/>
    <col min="145" max="145" width="9" hidden="1" customWidth="1"/>
    <col min="146" max="153" width="7.21875" hidden="1" customWidth="1"/>
    <col min="154" max="154" width="8.44140625" hidden="1" customWidth="1"/>
    <col min="155" max="155" width="7.21875" hidden="1" customWidth="1"/>
    <col min="156" max="158" width="8.109375" hidden="1" customWidth="1"/>
    <col min="159" max="164" width="7.21875" hidden="1" customWidth="1"/>
    <col min="165" max="165" width="8.109375" hidden="1" customWidth="1"/>
    <col min="166" max="166" width="7.21875" hidden="1" customWidth="1"/>
    <col min="167" max="167" width="8.44140625" hidden="1" customWidth="1"/>
    <col min="168" max="170" width="8.109375" hidden="1" customWidth="1"/>
    <col min="171" max="171" width="9" hidden="1" customWidth="1"/>
    <col min="172" max="172" width="7.21875" hidden="1" customWidth="1"/>
    <col min="173" max="179" width="8.109375" hidden="1" customWidth="1"/>
    <col min="180" max="180" width="8.44140625" hidden="1" customWidth="1"/>
    <col min="181" max="183" width="8.109375" hidden="1" customWidth="1"/>
    <col min="184" max="184" width="9" hidden="1" customWidth="1"/>
    <col min="185" max="187" width="8.109375" style="271" hidden="1" customWidth="1"/>
    <col min="188" max="192" width="8.109375" hidden="1" customWidth="1"/>
    <col min="193" max="193" width="8.44140625" hidden="1" customWidth="1"/>
    <col min="194" max="196" width="8.109375" hidden="1" customWidth="1"/>
    <col min="197" max="197" width="11.77734375" style="322" hidden="1" customWidth="1"/>
    <col min="198" max="198" width="8.109375" style="322" hidden="1" customWidth="1"/>
    <col min="199" max="199" width="8.109375" hidden="1" customWidth="1"/>
    <col min="200" max="201" width="8.109375" style="322" hidden="1" customWidth="1"/>
    <col min="202" max="203" width="8.109375" style="271" hidden="1" customWidth="1"/>
    <col min="204" max="205" width="8.109375" style="322" hidden="1" customWidth="1"/>
    <col min="206" max="206" width="8.44140625" style="322" hidden="1" customWidth="1"/>
    <col min="207" max="211" width="8.109375" style="322" hidden="1" customWidth="1"/>
    <col min="212" max="217" width="8.109375" style="271" hidden="1" customWidth="1"/>
    <col min="218" max="218" width="8.44140625" style="271" hidden="1" customWidth="1"/>
    <col min="219" max="221" width="8.109375" style="271" hidden="1" customWidth="1"/>
    <col min="222" max="222" width="9" style="399" hidden="1" customWidth="1"/>
    <col min="223" max="226" width="8.109375" style="322" hidden="1" customWidth="1"/>
    <col min="227" max="228" width="8.109375" style="360" hidden="1" customWidth="1"/>
    <col min="229" max="229" width="8.109375" style="322" hidden="1" customWidth="1"/>
    <col min="230" max="230" width="8.109375" style="387" hidden="1" customWidth="1"/>
    <col min="231" max="231" width="8.44140625" style="387" hidden="1" customWidth="1"/>
    <col min="232" max="232" width="8.109375" style="387" hidden="1" customWidth="1"/>
    <col min="233" max="233" width="8.109375" style="399" hidden="1" customWidth="1"/>
    <col min="234" max="234" width="8.109375" style="355" hidden="1" customWidth="1"/>
    <col min="235" max="240" width="8.109375" style="271" hidden="1" customWidth="1"/>
    <col min="241" max="254" width="9.6640625" style="322" hidden="1" customWidth="1"/>
    <col min="255" max="255" width="8.44140625" style="322" hidden="1" customWidth="1"/>
    <col min="256" max="270" width="8.109375" style="322" hidden="1" customWidth="1"/>
    <col min="271" max="271" width="11.33203125" style="322" customWidth="1"/>
    <col min="272" max="272" width="13.5546875" style="271" customWidth="1"/>
  </cols>
  <sheetData>
    <row r="1" spans="1:281" x14ac:dyDescent="0.25">
      <c r="A1" s="24"/>
      <c r="B1" s="25"/>
      <c r="C1" s="25"/>
      <c r="D1" s="25"/>
      <c r="E1" s="26"/>
      <c r="F1" s="26"/>
      <c r="G1" s="26"/>
      <c r="H1" s="26"/>
      <c r="I1" s="26"/>
      <c r="J1" s="26"/>
      <c r="K1" s="27"/>
      <c r="L1" s="27"/>
      <c r="M1" s="26"/>
      <c r="N1" s="26" t="s">
        <v>81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 t="s">
        <v>84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6"/>
      <c r="BR1" s="26"/>
      <c r="BS1" s="26"/>
      <c r="BT1" s="26"/>
      <c r="BU1" s="26"/>
      <c r="BV1" s="26"/>
      <c r="BW1" s="26"/>
      <c r="BX1" s="26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30"/>
      <c r="DB1" s="30"/>
      <c r="DC1" s="28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56"/>
      <c r="GD1" s="291"/>
      <c r="GE1" s="291"/>
      <c r="GF1" s="28"/>
      <c r="GG1" s="28"/>
      <c r="GH1" s="28"/>
      <c r="GI1" s="28"/>
      <c r="GJ1" s="28"/>
      <c r="GK1" s="28"/>
      <c r="GL1" s="28"/>
      <c r="GM1" s="28"/>
      <c r="GN1" s="28"/>
      <c r="GO1" s="307"/>
      <c r="GP1" s="307"/>
      <c r="GQ1" s="256"/>
      <c r="GR1" s="307"/>
      <c r="GS1" s="307"/>
      <c r="GT1" s="256"/>
      <c r="GU1" s="256"/>
      <c r="GV1" s="307"/>
      <c r="GW1" s="307"/>
      <c r="GX1" s="307"/>
      <c r="GY1" s="307"/>
      <c r="GZ1" s="307"/>
      <c r="HA1" s="307"/>
      <c r="HB1" s="307"/>
      <c r="HC1" s="307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398"/>
      <c r="HO1" s="372"/>
      <c r="HP1" s="372"/>
      <c r="HQ1" s="372"/>
      <c r="HR1" s="372"/>
      <c r="HS1" s="372"/>
      <c r="HT1" s="372"/>
      <c r="HU1" s="372"/>
      <c r="HV1" s="372"/>
      <c r="HW1" s="372"/>
      <c r="HX1" s="372"/>
      <c r="HY1" s="398"/>
      <c r="HZ1" s="398"/>
      <c r="IA1" s="398"/>
      <c r="IB1" s="398"/>
      <c r="IC1" s="398"/>
      <c r="ID1" s="398"/>
      <c r="IE1" s="398"/>
      <c r="IF1" s="398"/>
      <c r="IG1" s="372"/>
      <c r="IH1" s="372"/>
      <c r="II1" s="372"/>
      <c r="IJ1" s="372"/>
      <c r="IK1" s="372"/>
      <c r="IL1" s="372"/>
      <c r="IM1" s="372"/>
      <c r="IN1" s="372"/>
      <c r="IO1" s="372"/>
      <c r="IP1" s="372"/>
      <c r="IQ1" s="372"/>
      <c r="IR1" s="372"/>
      <c r="IS1" s="372"/>
      <c r="IT1" s="372"/>
      <c r="IU1" s="372"/>
      <c r="IV1" s="372"/>
      <c r="IW1" s="372"/>
      <c r="IX1" s="372"/>
      <c r="IY1" s="372"/>
      <c r="IZ1" s="372"/>
      <c r="JA1" s="372"/>
      <c r="JB1" s="372"/>
      <c r="JC1" s="372"/>
      <c r="JD1" s="372"/>
      <c r="JE1" s="372"/>
      <c r="JF1" s="372"/>
      <c r="JG1" s="372"/>
      <c r="JH1" s="372"/>
      <c r="JI1" s="372"/>
      <c r="JJ1" s="372"/>
      <c r="JK1" s="372"/>
      <c r="JL1" s="363" t="s">
        <v>65</v>
      </c>
    </row>
    <row r="2" spans="1:281" ht="18.75" x14ac:dyDescent="0.3">
      <c r="A2" s="32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234"/>
      <c r="AQ2" s="34"/>
      <c r="AR2" s="34"/>
      <c r="AS2" s="34"/>
      <c r="AT2" s="34"/>
      <c r="AU2" s="34"/>
      <c r="AV2" s="34"/>
      <c r="AW2" s="34"/>
      <c r="AX2" s="34"/>
      <c r="AY2" s="34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4"/>
      <c r="BQ2" s="234"/>
      <c r="BR2" s="34"/>
      <c r="BS2" s="34"/>
      <c r="BT2" s="34"/>
      <c r="BU2" s="34"/>
      <c r="BV2" s="34"/>
      <c r="BW2" s="34"/>
      <c r="BX2" s="34"/>
      <c r="BY2" s="34"/>
      <c r="BZ2" s="34"/>
      <c r="CA2" s="35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8"/>
      <c r="GC2" s="292"/>
      <c r="GD2" s="292"/>
      <c r="GE2" s="292"/>
      <c r="GF2" s="241"/>
      <c r="GG2" s="243"/>
      <c r="GH2" s="245"/>
      <c r="GI2" s="247"/>
      <c r="GJ2" s="248"/>
      <c r="GK2" s="249"/>
      <c r="GL2" s="250"/>
      <c r="GM2" s="251"/>
      <c r="GN2" s="252"/>
      <c r="GO2" s="308"/>
      <c r="GP2" s="310"/>
      <c r="GQ2" s="310"/>
      <c r="GR2" s="310"/>
      <c r="GS2" s="310"/>
      <c r="GT2" s="310"/>
      <c r="GU2" s="310"/>
      <c r="GV2" s="310"/>
      <c r="GW2" s="310"/>
      <c r="GX2" s="310"/>
      <c r="GY2" s="310"/>
      <c r="GZ2" s="310"/>
      <c r="HA2" s="310"/>
      <c r="HB2" s="310"/>
      <c r="HC2" s="310"/>
      <c r="HD2" s="310"/>
      <c r="HE2" s="310"/>
      <c r="HF2" s="310"/>
      <c r="HG2" s="310"/>
      <c r="HH2" s="310"/>
      <c r="HI2" s="374"/>
      <c r="HJ2" s="353"/>
      <c r="HK2" s="310"/>
      <c r="HL2" s="310"/>
      <c r="HM2" s="310"/>
      <c r="HN2" s="292"/>
      <c r="HO2" s="308"/>
      <c r="HP2" s="308"/>
      <c r="HQ2" s="308"/>
      <c r="HR2" s="308"/>
      <c r="HS2" s="308"/>
      <c r="HT2" s="308"/>
      <c r="HU2" s="308"/>
      <c r="HV2" s="308"/>
      <c r="HW2" s="308"/>
      <c r="HX2" s="308"/>
      <c r="HY2" s="292"/>
      <c r="HZ2" s="292"/>
      <c r="IA2" s="292"/>
      <c r="IB2" s="292"/>
      <c r="IC2" s="292"/>
      <c r="ID2" s="292"/>
      <c r="IE2" s="292"/>
      <c r="IF2" s="292"/>
      <c r="IG2" s="308"/>
      <c r="IH2" s="308"/>
      <c r="II2" s="308"/>
      <c r="IJ2" s="308"/>
      <c r="IK2" s="308"/>
      <c r="IL2" s="308"/>
      <c r="IM2" s="308"/>
      <c r="IN2" s="308"/>
      <c r="IO2" s="308"/>
      <c r="IP2" s="308"/>
      <c r="IQ2" s="308"/>
      <c r="IR2" s="308"/>
      <c r="IS2" s="308"/>
      <c r="IT2" s="308"/>
      <c r="IU2" s="308"/>
      <c r="IV2" s="308"/>
      <c r="IW2" s="308"/>
      <c r="IX2" s="308"/>
      <c r="IY2" s="308"/>
      <c r="IZ2" s="308"/>
      <c r="JA2" s="308"/>
      <c r="JB2" s="308"/>
      <c r="JC2" s="308"/>
      <c r="JD2" s="308"/>
      <c r="JE2" s="308"/>
      <c r="JF2" s="308"/>
      <c r="JG2" s="308"/>
      <c r="JH2" s="308"/>
      <c r="JI2" s="308"/>
      <c r="JJ2" s="308"/>
      <c r="JK2" s="308"/>
      <c r="JL2" s="364"/>
    </row>
    <row r="3" spans="1:281" ht="18.75" x14ac:dyDescent="0.3">
      <c r="A3" s="474" t="s">
        <v>77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2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93"/>
      <c r="GD3" s="293"/>
      <c r="GE3" s="293"/>
      <c r="GF3" s="2"/>
      <c r="GG3" s="2"/>
      <c r="GH3" s="2"/>
      <c r="GI3" s="2"/>
      <c r="GJ3" s="2"/>
      <c r="GK3" s="2"/>
      <c r="GL3" s="2"/>
      <c r="GM3" s="2"/>
      <c r="GN3" s="2"/>
      <c r="GO3" s="309"/>
      <c r="GP3" s="308"/>
      <c r="GQ3" s="2"/>
      <c r="GR3" s="309"/>
      <c r="GS3" s="309"/>
      <c r="GT3" s="293"/>
      <c r="GU3" s="293"/>
      <c r="GV3" s="309"/>
      <c r="GW3" s="309"/>
      <c r="GX3" s="309"/>
      <c r="GY3" s="309"/>
      <c r="GZ3" s="309"/>
      <c r="HA3" s="309"/>
      <c r="HB3" s="309"/>
      <c r="HC3" s="309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342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42"/>
      <c r="HZ3" s="342"/>
      <c r="IA3" s="342"/>
      <c r="IB3" s="342"/>
      <c r="IC3" s="342"/>
      <c r="ID3" s="342"/>
      <c r="IE3" s="342"/>
      <c r="IF3" s="342"/>
      <c r="IG3" s="336"/>
      <c r="IH3" s="336"/>
      <c r="II3" s="336"/>
      <c r="IJ3" s="336"/>
      <c r="IK3" s="336"/>
      <c r="IL3" s="336"/>
      <c r="IM3" s="336"/>
      <c r="IN3" s="336"/>
      <c r="IO3" s="336"/>
      <c r="IP3" s="336"/>
      <c r="IQ3" s="336"/>
      <c r="IR3" s="336"/>
      <c r="IS3" s="336"/>
      <c r="IT3" s="336"/>
      <c r="IU3" s="336"/>
      <c r="IV3" s="336"/>
      <c r="IW3" s="336"/>
      <c r="IX3" s="336"/>
      <c r="IY3" s="336"/>
      <c r="IZ3" s="336"/>
      <c r="JA3" s="336"/>
      <c r="JB3" s="336"/>
      <c r="JC3" s="336"/>
      <c r="JD3" s="336"/>
      <c r="JE3" s="336"/>
      <c r="JF3" s="336"/>
      <c r="JG3" s="336"/>
      <c r="JH3" s="336"/>
      <c r="JI3" s="336"/>
      <c r="JJ3" s="336"/>
      <c r="JK3" s="336"/>
      <c r="JL3" s="364"/>
    </row>
    <row r="4" spans="1:281" x14ac:dyDescent="0.25">
      <c r="A4" s="476" t="s">
        <v>90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1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294"/>
      <c r="GD4" s="294"/>
      <c r="GE4" s="294"/>
      <c r="GF4" s="1"/>
      <c r="GG4" s="1"/>
      <c r="GH4" s="1"/>
      <c r="GI4" s="1"/>
      <c r="GJ4" s="1"/>
      <c r="GK4" s="1"/>
      <c r="GL4" s="1"/>
      <c r="GM4" s="1"/>
      <c r="GN4" s="1"/>
      <c r="GO4" s="310"/>
      <c r="GP4" s="310"/>
      <c r="GQ4" s="1"/>
      <c r="GR4" s="310"/>
      <c r="GS4" s="310"/>
      <c r="GT4" s="294"/>
      <c r="GU4" s="294"/>
      <c r="GV4" s="310"/>
      <c r="GW4" s="310"/>
      <c r="GX4" s="310"/>
      <c r="GY4" s="310"/>
      <c r="GZ4" s="310"/>
      <c r="HA4" s="310"/>
      <c r="HB4" s="310"/>
      <c r="HC4" s="310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342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42"/>
      <c r="HZ4" s="342"/>
      <c r="IA4" s="342"/>
      <c r="IB4" s="342"/>
      <c r="IC4" s="342"/>
      <c r="ID4" s="342"/>
      <c r="IE4" s="342"/>
      <c r="IF4" s="342"/>
      <c r="IG4" s="336"/>
      <c r="IH4" s="336"/>
      <c r="II4" s="336"/>
      <c r="IJ4" s="336"/>
      <c r="IK4" s="336"/>
      <c r="IL4" s="336"/>
      <c r="IM4" s="336"/>
      <c r="IN4" s="336"/>
      <c r="IO4" s="336"/>
      <c r="IP4" s="336"/>
      <c r="IQ4" s="336"/>
      <c r="IR4" s="336"/>
      <c r="IS4" s="336"/>
      <c r="IT4" s="336"/>
      <c r="IU4" s="336"/>
      <c r="IV4" s="336"/>
      <c r="IW4" s="336"/>
      <c r="IX4" s="336"/>
      <c r="IY4" s="336"/>
      <c r="IZ4" s="336"/>
      <c r="JA4" s="336"/>
      <c r="JB4" s="336"/>
      <c r="JC4" s="336"/>
      <c r="JD4" s="336"/>
      <c r="JE4" s="336"/>
      <c r="JF4" s="336"/>
      <c r="JG4" s="336"/>
      <c r="JH4" s="336"/>
      <c r="JI4" s="336"/>
      <c r="JJ4" s="336"/>
      <c r="JK4" s="336"/>
      <c r="JL4" s="364"/>
    </row>
    <row r="5" spans="1:28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295"/>
      <c r="GD5" s="295"/>
      <c r="GE5" s="295"/>
      <c r="GF5" s="186"/>
      <c r="GG5" s="186"/>
      <c r="GH5" s="186"/>
      <c r="GI5" s="186"/>
      <c r="GJ5" s="186"/>
      <c r="GK5" s="186"/>
      <c r="GL5" s="186"/>
      <c r="GM5" s="186"/>
      <c r="GN5" s="186"/>
      <c r="GO5" s="311"/>
      <c r="GP5" s="311"/>
      <c r="GQ5" s="186"/>
      <c r="GR5" s="311"/>
      <c r="GS5" s="311"/>
      <c r="GT5" s="295"/>
      <c r="GU5" s="295"/>
      <c r="GV5" s="311"/>
      <c r="GW5" s="311"/>
      <c r="GX5" s="311"/>
      <c r="GY5" s="311"/>
      <c r="GZ5" s="311"/>
      <c r="HA5" s="311"/>
      <c r="HB5" s="336"/>
      <c r="HC5" s="336"/>
      <c r="HD5" s="342"/>
      <c r="HE5" s="342"/>
      <c r="HF5" s="342"/>
      <c r="HG5" s="342"/>
      <c r="HH5" s="342"/>
      <c r="HI5" s="342"/>
      <c r="HJ5" s="342"/>
      <c r="HK5" s="342"/>
      <c r="HL5" s="342"/>
      <c r="HM5" s="342"/>
      <c r="HN5" s="342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42"/>
      <c r="HZ5" s="342"/>
      <c r="IA5" s="342"/>
      <c r="IB5" s="342"/>
      <c r="IC5" s="342"/>
      <c r="ID5" s="342"/>
      <c r="IE5" s="342"/>
      <c r="IF5" s="342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  <c r="IV5" s="336"/>
      <c r="IW5" s="336"/>
      <c r="IX5" s="336"/>
      <c r="IY5" s="336"/>
      <c r="IZ5" s="336"/>
      <c r="JA5" s="336"/>
      <c r="JB5" s="336"/>
      <c r="JC5" s="336"/>
      <c r="JD5" s="336"/>
      <c r="JE5" s="336"/>
      <c r="JF5" s="336"/>
      <c r="JG5" s="336"/>
      <c r="JH5" s="336"/>
      <c r="JI5" s="336"/>
      <c r="JJ5" s="336"/>
      <c r="JK5" s="336"/>
      <c r="JL5" s="366"/>
    </row>
    <row r="6" spans="1:281" x14ac:dyDescent="0.25">
      <c r="A6" s="6"/>
      <c r="B6" s="34"/>
      <c r="C6" s="34"/>
      <c r="D6" s="34"/>
      <c r="E6" s="33"/>
      <c r="F6" s="33"/>
      <c r="G6" s="33"/>
      <c r="H6" s="34"/>
      <c r="I6" s="34"/>
      <c r="J6" s="34"/>
      <c r="K6" s="34"/>
      <c r="L6" s="34"/>
      <c r="M6" s="34"/>
      <c r="N6" s="34"/>
      <c r="O6" s="48"/>
      <c r="P6" s="34"/>
      <c r="Q6" s="48"/>
      <c r="R6" s="48"/>
      <c r="S6" s="34"/>
      <c r="T6" s="34"/>
      <c r="U6" s="36"/>
      <c r="V6" s="34"/>
      <c r="W6" s="34"/>
      <c r="X6" s="34"/>
      <c r="Y6" s="34"/>
      <c r="Z6" s="34"/>
      <c r="AA6" s="34"/>
      <c r="AB6" s="34"/>
      <c r="AC6" s="34"/>
      <c r="AD6" s="34"/>
      <c r="AE6" s="41"/>
      <c r="AF6" s="49"/>
      <c r="AG6" s="49"/>
      <c r="AH6" s="49"/>
      <c r="AI6" s="49"/>
      <c r="AJ6" s="49"/>
      <c r="AK6" s="49"/>
      <c r="AL6" s="28"/>
      <c r="AM6" s="49"/>
      <c r="AN6" s="50"/>
      <c r="AO6" s="51"/>
      <c r="AP6" s="51"/>
      <c r="AQ6" s="51"/>
      <c r="AR6" s="51"/>
      <c r="AS6" s="40"/>
      <c r="AT6" s="40"/>
      <c r="AU6" s="51"/>
      <c r="AV6" s="51"/>
      <c r="AW6" s="51"/>
      <c r="AX6" s="51"/>
      <c r="AY6" s="51"/>
      <c r="AZ6" s="4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347"/>
      <c r="BM6" s="446"/>
      <c r="BN6" s="427"/>
      <c r="BO6" s="453"/>
      <c r="BP6" s="465">
        <v>2009</v>
      </c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7"/>
      <c r="CC6" s="465">
        <v>2010</v>
      </c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7"/>
      <c r="CP6" s="52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3"/>
      <c r="DC6" s="54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31"/>
      <c r="DP6" s="54"/>
      <c r="DQ6" s="481">
        <v>2013</v>
      </c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2"/>
      <c r="EC6" s="480">
        <v>2014</v>
      </c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2"/>
      <c r="EP6" s="480">
        <v>2015</v>
      </c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2"/>
      <c r="FC6" s="480">
        <v>2016</v>
      </c>
      <c r="FD6" s="481"/>
      <c r="FE6" s="481"/>
      <c r="FF6" s="481"/>
      <c r="FG6" s="481"/>
      <c r="FH6" s="481"/>
      <c r="FI6" s="481"/>
      <c r="FJ6" s="481"/>
      <c r="FK6" s="481"/>
      <c r="FL6" s="481"/>
      <c r="FM6" s="481"/>
      <c r="FN6" s="481"/>
      <c r="FO6" s="482"/>
      <c r="FP6" s="480">
        <v>2017</v>
      </c>
      <c r="FQ6" s="481"/>
      <c r="FR6" s="481"/>
      <c r="FS6" s="481"/>
      <c r="FT6" s="481"/>
      <c r="FU6" s="481"/>
      <c r="FV6" s="481"/>
      <c r="FW6" s="481"/>
      <c r="FX6" s="481"/>
      <c r="FY6" s="481"/>
      <c r="FZ6" s="481"/>
      <c r="GA6" s="481"/>
      <c r="GB6" s="482"/>
      <c r="GC6" s="456">
        <v>2018</v>
      </c>
      <c r="GD6" s="457"/>
      <c r="GE6" s="457"/>
      <c r="GF6" s="457"/>
      <c r="GG6" s="457"/>
      <c r="GH6" s="457"/>
      <c r="GI6" s="457"/>
      <c r="GJ6" s="457"/>
      <c r="GK6" s="457"/>
      <c r="GL6" s="457"/>
      <c r="GM6" s="457"/>
      <c r="GN6" s="457"/>
      <c r="GO6" s="458"/>
      <c r="GP6" s="465">
        <v>2019</v>
      </c>
      <c r="GQ6" s="466"/>
      <c r="GR6" s="466"/>
      <c r="GS6" s="466"/>
      <c r="GT6" s="466"/>
      <c r="GU6" s="466"/>
      <c r="GV6" s="466"/>
      <c r="GW6" s="466"/>
      <c r="GX6" s="466"/>
      <c r="GY6" s="466"/>
      <c r="GZ6" s="466"/>
      <c r="HA6" s="467"/>
      <c r="HB6" s="456">
        <v>2020</v>
      </c>
      <c r="HC6" s="457"/>
      <c r="HD6" s="457"/>
      <c r="HE6" s="457"/>
      <c r="HF6" s="457"/>
      <c r="HG6" s="457"/>
      <c r="HH6" s="457"/>
      <c r="HI6" s="457"/>
      <c r="HJ6" s="457"/>
      <c r="HK6" s="457"/>
      <c r="HL6" s="457"/>
      <c r="HM6" s="457"/>
      <c r="HN6" s="444"/>
      <c r="HO6" s="456">
        <v>2021</v>
      </c>
      <c r="HP6" s="457"/>
      <c r="HQ6" s="457"/>
      <c r="HR6" s="457"/>
      <c r="HS6" s="457"/>
      <c r="HT6" s="457"/>
      <c r="HU6" s="457"/>
      <c r="HV6" s="457"/>
      <c r="HW6" s="457"/>
      <c r="HX6" s="457"/>
      <c r="HY6" s="457"/>
      <c r="HZ6" s="458"/>
      <c r="IA6" s="457">
        <v>2022</v>
      </c>
      <c r="IB6" s="457"/>
      <c r="IC6" s="457"/>
      <c r="ID6" s="457"/>
      <c r="IE6" s="457"/>
      <c r="IF6" s="457"/>
      <c r="IG6" s="457"/>
      <c r="IH6" s="457"/>
      <c r="II6" s="457"/>
      <c r="IJ6" s="457"/>
      <c r="IK6" s="457"/>
      <c r="IL6" s="458"/>
      <c r="IM6" s="457">
        <v>2023</v>
      </c>
      <c r="IN6" s="457"/>
      <c r="IO6" s="457"/>
      <c r="IP6" s="457"/>
      <c r="IQ6" s="457"/>
      <c r="IR6" s="457"/>
      <c r="IS6" s="457"/>
      <c r="IT6" s="457"/>
      <c r="IU6" s="457"/>
      <c r="IV6" s="457"/>
      <c r="IW6" s="457"/>
      <c r="IX6" s="458"/>
      <c r="IY6" s="456">
        <v>2024</v>
      </c>
      <c r="IZ6" s="457"/>
      <c r="JA6" s="457"/>
      <c r="JB6" s="457"/>
      <c r="JC6" s="457"/>
      <c r="JD6" s="457"/>
      <c r="JE6" s="457"/>
      <c r="JF6" s="457"/>
      <c r="JG6" s="457"/>
      <c r="JH6" s="457"/>
      <c r="JI6" s="457"/>
      <c r="JJ6" s="458"/>
      <c r="JK6" s="491">
        <v>2023</v>
      </c>
      <c r="JL6" s="491">
        <v>2024</v>
      </c>
      <c r="JM6" s="1"/>
      <c r="JN6" s="1"/>
      <c r="JO6" s="1"/>
      <c r="JP6" s="1"/>
      <c r="JQ6" s="1"/>
      <c r="JR6" s="1"/>
      <c r="JS6" s="1"/>
      <c r="JT6" s="1"/>
      <c r="JU6" s="1"/>
    </row>
    <row r="7" spans="1:281" ht="15" customHeight="1" x14ac:dyDescent="0.25">
      <c r="A7" s="217" t="s">
        <v>67</v>
      </c>
      <c r="B7" s="34"/>
      <c r="C7" s="34"/>
      <c r="D7" s="34"/>
      <c r="E7" s="56" t="s">
        <v>0</v>
      </c>
      <c r="F7" s="56" t="s">
        <v>1</v>
      </c>
      <c r="G7" s="57" t="s">
        <v>2</v>
      </c>
      <c r="H7" s="38" t="s">
        <v>3</v>
      </c>
      <c r="I7" s="38" t="s">
        <v>4</v>
      </c>
      <c r="J7" s="38" t="s">
        <v>5</v>
      </c>
      <c r="K7" s="38" t="s">
        <v>6</v>
      </c>
      <c r="L7" s="38" t="s">
        <v>7</v>
      </c>
      <c r="M7" s="38" t="s">
        <v>8</v>
      </c>
      <c r="N7" s="38" t="s">
        <v>9</v>
      </c>
      <c r="O7" s="58" t="s">
        <v>10</v>
      </c>
      <c r="P7" s="38" t="s">
        <v>11</v>
      </c>
      <c r="Q7" s="58" t="s">
        <v>12</v>
      </c>
      <c r="R7" s="58">
        <v>2000</v>
      </c>
      <c r="S7" s="38">
        <v>2000</v>
      </c>
      <c r="T7" s="59"/>
      <c r="U7" s="60"/>
      <c r="V7" s="60" t="s">
        <v>69</v>
      </c>
      <c r="W7" s="34"/>
      <c r="X7" s="34"/>
      <c r="Y7" s="34"/>
      <c r="Z7" s="61" t="s">
        <v>82</v>
      </c>
      <c r="AA7" s="62"/>
      <c r="AB7" s="63"/>
      <c r="AC7" s="63"/>
      <c r="AD7" s="63"/>
      <c r="AE7" s="64">
        <v>2000</v>
      </c>
      <c r="AF7" s="58">
        <v>2001</v>
      </c>
      <c r="AG7" s="58">
        <v>2002</v>
      </c>
      <c r="AH7" s="58">
        <v>2003</v>
      </c>
      <c r="AI7" s="58">
        <v>2004</v>
      </c>
      <c r="AJ7" s="58">
        <v>2005</v>
      </c>
      <c r="AK7" s="58">
        <v>2006</v>
      </c>
      <c r="AL7" s="58">
        <v>2007</v>
      </c>
      <c r="AM7" s="58">
        <v>2008</v>
      </c>
      <c r="AN7" s="58">
        <v>2008</v>
      </c>
      <c r="AO7" s="65">
        <v>2008</v>
      </c>
      <c r="AP7" s="66">
        <v>2008</v>
      </c>
      <c r="AQ7" s="66">
        <v>2008</v>
      </c>
      <c r="AR7" s="67">
        <v>2008</v>
      </c>
      <c r="AS7" s="67">
        <v>2008</v>
      </c>
      <c r="AT7" s="67">
        <v>2008</v>
      </c>
      <c r="AU7" s="67">
        <v>2008</v>
      </c>
      <c r="AV7" s="66">
        <v>2008</v>
      </c>
      <c r="AW7" s="66">
        <v>2008</v>
      </c>
      <c r="AX7" s="66">
        <v>2008</v>
      </c>
      <c r="AY7" s="484">
        <v>2008</v>
      </c>
      <c r="AZ7" s="484"/>
      <c r="BA7" s="58">
        <v>2009</v>
      </c>
      <c r="BB7" s="58">
        <v>2010</v>
      </c>
      <c r="BC7" s="58">
        <v>2011</v>
      </c>
      <c r="BD7" s="58">
        <v>2012</v>
      </c>
      <c r="BE7" s="58">
        <v>2013</v>
      </c>
      <c r="BF7" s="58">
        <v>2014</v>
      </c>
      <c r="BG7" s="58">
        <v>2015</v>
      </c>
      <c r="BH7" s="58">
        <v>2016</v>
      </c>
      <c r="BI7" s="58">
        <v>2017</v>
      </c>
      <c r="BJ7" s="58">
        <v>2018</v>
      </c>
      <c r="BK7" s="58">
        <v>2019</v>
      </c>
      <c r="BL7" s="58">
        <v>2020</v>
      </c>
      <c r="BM7" s="58">
        <v>2021</v>
      </c>
      <c r="BN7" s="58">
        <v>2022</v>
      </c>
      <c r="BO7" s="454">
        <v>2023</v>
      </c>
      <c r="BP7" s="468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70"/>
      <c r="CC7" s="468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70"/>
      <c r="CP7" s="483">
        <v>2011</v>
      </c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5"/>
      <c r="DC7" s="483">
        <v>2012</v>
      </c>
      <c r="DD7" s="484"/>
      <c r="DE7" s="484"/>
      <c r="DF7" s="484"/>
      <c r="DG7" s="484"/>
      <c r="DH7" s="484"/>
      <c r="DI7" s="484"/>
      <c r="DJ7" s="484"/>
      <c r="DK7" s="484"/>
      <c r="DL7" s="484"/>
      <c r="DM7" s="484"/>
      <c r="DN7" s="484"/>
      <c r="DO7" s="485"/>
      <c r="DP7" s="188">
        <v>2013</v>
      </c>
      <c r="DQ7" s="484"/>
      <c r="DR7" s="484"/>
      <c r="DS7" s="484"/>
      <c r="DT7" s="484"/>
      <c r="DU7" s="484"/>
      <c r="DV7" s="484"/>
      <c r="DW7" s="484"/>
      <c r="DX7" s="484"/>
      <c r="DY7" s="484"/>
      <c r="DZ7" s="484"/>
      <c r="EA7" s="484"/>
      <c r="EB7" s="485"/>
      <c r="EC7" s="483"/>
      <c r="ED7" s="484"/>
      <c r="EE7" s="484"/>
      <c r="EF7" s="484"/>
      <c r="EG7" s="484"/>
      <c r="EH7" s="484"/>
      <c r="EI7" s="484"/>
      <c r="EJ7" s="484"/>
      <c r="EK7" s="484"/>
      <c r="EL7" s="484"/>
      <c r="EM7" s="484"/>
      <c r="EN7" s="484"/>
      <c r="EO7" s="485"/>
      <c r="EP7" s="483"/>
      <c r="EQ7" s="484"/>
      <c r="ER7" s="484"/>
      <c r="ES7" s="484"/>
      <c r="ET7" s="484"/>
      <c r="EU7" s="484"/>
      <c r="EV7" s="484"/>
      <c r="EW7" s="484"/>
      <c r="EX7" s="484"/>
      <c r="EY7" s="484"/>
      <c r="EZ7" s="484"/>
      <c r="FA7" s="484"/>
      <c r="FB7" s="485"/>
      <c r="FC7" s="483"/>
      <c r="FD7" s="484"/>
      <c r="FE7" s="484"/>
      <c r="FF7" s="484"/>
      <c r="FG7" s="484"/>
      <c r="FH7" s="484"/>
      <c r="FI7" s="484"/>
      <c r="FJ7" s="484"/>
      <c r="FK7" s="484"/>
      <c r="FL7" s="484"/>
      <c r="FM7" s="484"/>
      <c r="FN7" s="484"/>
      <c r="FO7" s="485"/>
      <c r="FP7" s="483"/>
      <c r="FQ7" s="484"/>
      <c r="FR7" s="484"/>
      <c r="FS7" s="484"/>
      <c r="FT7" s="484"/>
      <c r="FU7" s="484"/>
      <c r="FV7" s="484"/>
      <c r="FW7" s="484"/>
      <c r="FX7" s="484"/>
      <c r="FY7" s="484"/>
      <c r="FZ7" s="484"/>
      <c r="GA7" s="484"/>
      <c r="GB7" s="485"/>
      <c r="GC7" s="459"/>
      <c r="GD7" s="460"/>
      <c r="GE7" s="460"/>
      <c r="GF7" s="460"/>
      <c r="GG7" s="460"/>
      <c r="GH7" s="460"/>
      <c r="GI7" s="460"/>
      <c r="GJ7" s="460"/>
      <c r="GK7" s="460"/>
      <c r="GL7" s="460"/>
      <c r="GM7" s="460"/>
      <c r="GN7" s="460"/>
      <c r="GO7" s="461"/>
      <c r="GP7" s="468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70"/>
      <c r="HB7" s="459"/>
      <c r="HC7" s="460"/>
      <c r="HD7" s="460"/>
      <c r="HE7" s="460"/>
      <c r="HF7" s="460"/>
      <c r="HG7" s="460"/>
      <c r="HH7" s="460"/>
      <c r="HI7" s="460"/>
      <c r="HJ7" s="460"/>
      <c r="HK7" s="460"/>
      <c r="HL7" s="460"/>
      <c r="HM7" s="460"/>
      <c r="HN7" s="443">
        <v>2020</v>
      </c>
      <c r="HO7" s="459"/>
      <c r="HP7" s="460"/>
      <c r="HQ7" s="460"/>
      <c r="HR7" s="460"/>
      <c r="HS7" s="460"/>
      <c r="HT7" s="460"/>
      <c r="HU7" s="460"/>
      <c r="HV7" s="460"/>
      <c r="HW7" s="460"/>
      <c r="HX7" s="460"/>
      <c r="HY7" s="460"/>
      <c r="HZ7" s="461"/>
      <c r="IA7" s="460"/>
      <c r="IB7" s="460"/>
      <c r="IC7" s="460"/>
      <c r="ID7" s="460"/>
      <c r="IE7" s="460"/>
      <c r="IF7" s="460"/>
      <c r="IG7" s="460"/>
      <c r="IH7" s="460"/>
      <c r="II7" s="460"/>
      <c r="IJ7" s="460"/>
      <c r="IK7" s="460"/>
      <c r="IL7" s="461"/>
      <c r="IM7" s="460"/>
      <c r="IN7" s="460"/>
      <c r="IO7" s="460"/>
      <c r="IP7" s="460"/>
      <c r="IQ7" s="460"/>
      <c r="IR7" s="460"/>
      <c r="IS7" s="460"/>
      <c r="IT7" s="460"/>
      <c r="IU7" s="460"/>
      <c r="IV7" s="460"/>
      <c r="IW7" s="460"/>
      <c r="IX7" s="461"/>
      <c r="IY7" s="459"/>
      <c r="IZ7" s="460"/>
      <c r="JA7" s="460"/>
      <c r="JB7" s="460"/>
      <c r="JC7" s="460"/>
      <c r="JD7" s="460"/>
      <c r="JE7" s="460"/>
      <c r="JF7" s="460"/>
      <c r="JG7" s="460"/>
      <c r="JH7" s="460"/>
      <c r="JI7" s="460"/>
      <c r="JJ7" s="461"/>
      <c r="JK7" s="492">
        <v>2023</v>
      </c>
      <c r="JL7" s="492"/>
      <c r="JM7" s="1"/>
      <c r="JN7" s="1"/>
      <c r="JO7" s="1"/>
      <c r="JP7" s="1"/>
      <c r="JQ7" s="1"/>
      <c r="JR7" s="1"/>
      <c r="JS7" s="1"/>
      <c r="JT7" s="1"/>
      <c r="JU7" s="1"/>
    </row>
    <row r="8" spans="1:281" x14ac:dyDescent="0.25">
      <c r="A8" s="69"/>
      <c r="B8" s="34"/>
      <c r="C8" s="34"/>
      <c r="D8" s="34"/>
      <c r="E8" s="56"/>
      <c r="F8" s="56"/>
      <c r="G8" s="57"/>
      <c r="H8" s="38"/>
      <c r="I8" s="38"/>
      <c r="J8" s="38"/>
      <c r="K8" s="38"/>
      <c r="L8" s="38"/>
      <c r="M8" s="38"/>
      <c r="N8" s="38"/>
      <c r="O8" s="58"/>
      <c r="P8" s="38"/>
      <c r="Q8" s="58"/>
      <c r="R8" s="58"/>
      <c r="S8" s="38"/>
      <c r="T8" s="59"/>
      <c r="U8" s="60"/>
      <c r="V8" s="60"/>
      <c r="W8" s="34"/>
      <c r="X8" s="34"/>
      <c r="Y8" s="34"/>
      <c r="Z8" s="61"/>
      <c r="AA8" s="61"/>
      <c r="AB8" s="65"/>
      <c r="AC8" s="65"/>
      <c r="AD8" s="65"/>
      <c r="AE8" s="70"/>
      <c r="AF8" s="58"/>
      <c r="AG8" s="68"/>
      <c r="AH8" s="68"/>
      <c r="AI8" s="58"/>
      <c r="AJ8" s="58"/>
      <c r="AK8" s="58"/>
      <c r="AL8" s="38"/>
      <c r="AM8" s="58"/>
      <c r="AN8" s="71"/>
      <c r="AO8" s="72"/>
      <c r="AP8" s="72"/>
      <c r="AQ8" s="72"/>
      <c r="AR8" s="73"/>
      <c r="AS8" s="72"/>
      <c r="AT8" s="73"/>
      <c r="AU8" s="74"/>
      <c r="AV8" s="75"/>
      <c r="AW8" s="72"/>
      <c r="AX8" s="72"/>
      <c r="AY8" s="76"/>
      <c r="AZ8" s="72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58"/>
      <c r="BM8" s="58"/>
      <c r="BN8" s="58"/>
      <c r="BO8" s="454"/>
      <c r="BP8" s="471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3"/>
      <c r="CC8" s="471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3"/>
      <c r="CP8" s="78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6"/>
      <c r="DC8" s="78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6"/>
      <c r="DP8" s="78"/>
      <c r="DQ8" s="487"/>
      <c r="DR8" s="487"/>
      <c r="DS8" s="487"/>
      <c r="DT8" s="487"/>
      <c r="DU8" s="487"/>
      <c r="DV8" s="487"/>
      <c r="DW8" s="487"/>
      <c r="DX8" s="487"/>
      <c r="DY8" s="487"/>
      <c r="DZ8" s="487"/>
      <c r="EA8" s="487"/>
      <c r="EB8" s="488"/>
      <c r="EC8" s="486"/>
      <c r="ED8" s="487"/>
      <c r="EE8" s="487"/>
      <c r="EF8" s="487"/>
      <c r="EG8" s="487"/>
      <c r="EH8" s="487"/>
      <c r="EI8" s="487"/>
      <c r="EJ8" s="487"/>
      <c r="EK8" s="487"/>
      <c r="EL8" s="487"/>
      <c r="EM8" s="487"/>
      <c r="EN8" s="487"/>
      <c r="EO8" s="488"/>
      <c r="EP8" s="486"/>
      <c r="EQ8" s="487"/>
      <c r="ER8" s="487"/>
      <c r="ES8" s="487"/>
      <c r="ET8" s="487"/>
      <c r="EU8" s="487"/>
      <c r="EV8" s="487"/>
      <c r="EW8" s="487"/>
      <c r="EX8" s="487"/>
      <c r="EY8" s="487"/>
      <c r="EZ8" s="487"/>
      <c r="FA8" s="487"/>
      <c r="FB8" s="488"/>
      <c r="FC8" s="486"/>
      <c r="FD8" s="487"/>
      <c r="FE8" s="487"/>
      <c r="FF8" s="487"/>
      <c r="FG8" s="487"/>
      <c r="FH8" s="487"/>
      <c r="FI8" s="487"/>
      <c r="FJ8" s="487"/>
      <c r="FK8" s="487"/>
      <c r="FL8" s="487"/>
      <c r="FM8" s="487"/>
      <c r="FN8" s="487"/>
      <c r="FO8" s="488"/>
      <c r="FP8" s="486"/>
      <c r="FQ8" s="487"/>
      <c r="FR8" s="487"/>
      <c r="FS8" s="487"/>
      <c r="FT8" s="487"/>
      <c r="FU8" s="487"/>
      <c r="FV8" s="487"/>
      <c r="FW8" s="487"/>
      <c r="FX8" s="487"/>
      <c r="FY8" s="487"/>
      <c r="FZ8" s="487"/>
      <c r="GA8" s="487"/>
      <c r="GB8" s="488"/>
      <c r="GC8" s="462"/>
      <c r="GD8" s="463"/>
      <c r="GE8" s="463"/>
      <c r="GF8" s="463"/>
      <c r="GG8" s="463"/>
      <c r="GH8" s="463"/>
      <c r="GI8" s="463"/>
      <c r="GJ8" s="463"/>
      <c r="GK8" s="463"/>
      <c r="GL8" s="463"/>
      <c r="GM8" s="463"/>
      <c r="GN8" s="463"/>
      <c r="GO8" s="464"/>
      <c r="GP8" s="471"/>
      <c r="GQ8" s="472"/>
      <c r="GR8" s="472"/>
      <c r="GS8" s="472"/>
      <c r="GT8" s="472"/>
      <c r="GU8" s="472"/>
      <c r="GV8" s="472"/>
      <c r="GW8" s="472"/>
      <c r="GX8" s="472"/>
      <c r="GY8" s="472"/>
      <c r="GZ8" s="472"/>
      <c r="HA8" s="473"/>
      <c r="HB8" s="462"/>
      <c r="HC8" s="463"/>
      <c r="HD8" s="463"/>
      <c r="HE8" s="463"/>
      <c r="HF8" s="463"/>
      <c r="HG8" s="463"/>
      <c r="HH8" s="463"/>
      <c r="HI8" s="463"/>
      <c r="HJ8" s="463"/>
      <c r="HK8" s="463"/>
      <c r="HL8" s="463"/>
      <c r="HM8" s="463"/>
      <c r="HN8" s="445"/>
      <c r="HO8" s="462"/>
      <c r="HP8" s="463"/>
      <c r="HQ8" s="463"/>
      <c r="HR8" s="463"/>
      <c r="HS8" s="463"/>
      <c r="HT8" s="463"/>
      <c r="HU8" s="463"/>
      <c r="HV8" s="463"/>
      <c r="HW8" s="463"/>
      <c r="HX8" s="463"/>
      <c r="HY8" s="463"/>
      <c r="HZ8" s="464"/>
      <c r="IA8" s="463"/>
      <c r="IB8" s="463"/>
      <c r="IC8" s="463"/>
      <c r="ID8" s="463"/>
      <c r="IE8" s="463"/>
      <c r="IF8" s="463"/>
      <c r="IG8" s="463"/>
      <c r="IH8" s="463"/>
      <c r="II8" s="463"/>
      <c r="IJ8" s="463"/>
      <c r="IK8" s="463"/>
      <c r="IL8" s="464"/>
      <c r="IM8" s="463"/>
      <c r="IN8" s="463"/>
      <c r="IO8" s="463"/>
      <c r="IP8" s="463"/>
      <c r="IQ8" s="463"/>
      <c r="IR8" s="463"/>
      <c r="IS8" s="463"/>
      <c r="IT8" s="463"/>
      <c r="IU8" s="463"/>
      <c r="IV8" s="463"/>
      <c r="IW8" s="463"/>
      <c r="IX8" s="464"/>
      <c r="IY8" s="462"/>
      <c r="IZ8" s="463"/>
      <c r="JA8" s="463"/>
      <c r="JB8" s="463"/>
      <c r="JC8" s="463"/>
      <c r="JD8" s="463"/>
      <c r="JE8" s="463"/>
      <c r="JF8" s="463"/>
      <c r="JG8" s="463"/>
      <c r="JH8" s="463"/>
      <c r="JI8" s="463"/>
      <c r="JJ8" s="464"/>
      <c r="JK8" s="493"/>
      <c r="JL8" s="493"/>
      <c r="JM8" s="1"/>
      <c r="JN8" s="1"/>
      <c r="JO8" s="8"/>
      <c r="JP8" s="8"/>
      <c r="JQ8" s="3"/>
      <c r="JR8" s="3"/>
      <c r="JS8" s="8"/>
      <c r="JT8" s="4"/>
      <c r="JU8" s="4"/>
    </row>
    <row r="9" spans="1:281" x14ac:dyDescent="0.25">
      <c r="A9" s="55"/>
      <c r="B9" s="34"/>
      <c r="C9" s="34"/>
      <c r="D9" s="34"/>
      <c r="E9" s="79"/>
      <c r="F9" s="79"/>
      <c r="G9" s="79"/>
      <c r="H9" s="34"/>
      <c r="I9" s="34"/>
      <c r="J9" s="34"/>
      <c r="K9" s="34"/>
      <c r="L9" s="34"/>
      <c r="M9" s="34"/>
      <c r="N9" s="34"/>
      <c r="O9" s="48"/>
      <c r="P9" s="34"/>
      <c r="Q9" s="48"/>
      <c r="R9" s="58"/>
      <c r="S9" s="80" t="s">
        <v>13</v>
      </c>
      <c r="T9" s="81" t="s">
        <v>14</v>
      </c>
      <c r="U9" s="82" t="s">
        <v>15</v>
      </c>
      <c r="V9" s="82" t="s">
        <v>16</v>
      </c>
      <c r="W9" s="82" t="s">
        <v>17</v>
      </c>
      <c r="X9" s="82" t="s">
        <v>18</v>
      </c>
      <c r="Y9" s="81" t="s">
        <v>19</v>
      </c>
      <c r="Z9" s="82" t="s">
        <v>20</v>
      </c>
      <c r="AA9" s="58" t="s">
        <v>21</v>
      </c>
      <c r="AB9" s="58" t="s">
        <v>22</v>
      </c>
      <c r="AC9" s="81" t="s">
        <v>23</v>
      </c>
      <c r="AD9" s="82" t="s">
        <v>24</v>
      </c>
      <c r="AE9" s="83" t="s">
        <v>64</v>
      </c>
      <c r="AF9" s="84"/>
      <c r="AG9" s="84"/>
      <c r="AH9" s="83"/>
      <c r="AI9" s="83"/>
      <c r="AJ9" s="84"/>
      <c r="AK9" s="83"/>
      <c r="AL9" s="83"/>
      <c r="AM9" s="84"/>
      <c r="AN9" s="39" t="s">
        <v>13</v>
      </c>
      <c r="AO9" s="39" t="s">
        <v>14</v>
      </c>
      <c r="AP9" s="58" t="s">
        <v>15</v>
      </c>
      <c r="AQ9" s="58" t="s">
        <v>16</v>
      </c>
      <c r="AR9" s="58" t="s">
        <v>17</v>
      </c>
      <c r="AS9" s="58" t="s">
        <v>18</v>
      </c>
      <c r="AT9" s="58" t="s">
        <v>19</v>
      </c>
      <c r="AU9" s="68" t="s">
        <v>20</v>
      </c>
      <c r="AV9" s="58" t="s">
        <v>21</v>
      </c>
      <c r="AW9" s="68" t="s">
        <v>22</v>
      </c>
      <c r="AX9" s="82" t="s">
        <v>23</v>
      </c>
      <c r="AY9" s="58" t="s">
        <v>24</v>
      </c>
      <c r="AZ9" s="85" t="s">
        <v>85</v>
      </c>
      <c r="BA9" s="58"/>
      <c r="BB9" s="39"/>
      <c r="BC9" s="39"/>
      <c r="BD9" s="189"/>
      <c r="BE9" s="39"/>
      <c r="BF9" s="204"/>
      <c r="BG9" s="222"/>
      <c r="BH9" s="239"/>
      <c r="BI9" s="253"/>
      <c r="BJ9" s="334"/>
      <c r="BK9" s="201"/>
      <c r="BL9" s="58"/>
      <c r="BM9" s="447"/>
      <c r="BN9" s="407"/>
      <c r="BO9" s="455"/>
      <c r="BP9" s="39" t="s">
        <v>13</v>
      </c>
      <c r="BQ9" s="39" t="s">
        <v>14</v>
      </c>
      <c r="BR9" s="58" t="s">
        <v>15</v>
      </c>
      <c r="BS9" s="58" t="s">
        <v>16</v>
      </c>
      <c r="BT9" s="58" t="s">
        <v>17</v>
      </c>
      <c r="BU9" s="58" t="s">
        <v>18</v>
      </c>
      <c r="BV9" s="58" t="s">
        <v>19</v>
      </c>
      <c r="BW9" s="58" t="s">
        <v>20</v>
      </c>
      <c r="BX9" s="58" t="s">
        <v>21</v>
      </c>
      <c r="BY9" s="58" t="s">
        <v>22</v>
      </c>
      <c r="BZ9" s="58" t="s">
        <v>23</v>
      </c>
      <c r="CA9" s="58" t="s">
        <v>24</v>
      </c>
      <c r="CB9" s="58" t="s">
        <v>86</v>
      </c>
      <c r="CC9" s="58" t="s">
        <v>13</v>
      </c>
      <c r="CD9" s="39" t="s">
        <v>14</v>
      </c>
      <c r="CE9" s="58" t="s">
        <v>15</v>
      </c>
      <c r="CF9" s="58" t="s">
        <v>16</v>
      </c>
      <c r="CG9" s="58" t="s">
        <v>17</v>
      </c>
      <c r="CH9" s="58" t="s">
        <v>18</v>
      </c>
      <c r="CI9" s="58" t="s">
        <v>19</v>
      </c>
      <c r="CJ9" s="58" t="s">
        <v>20</v>
      </c>
      <c r="CK9" s="58" t="s">
        <v>21</v>
      </c>
      <c r="CL9" s="58" t="s">
        <v>22</v>
      </c>
      <c r="CM9" s="58" t="s">
        <v>23</v>
      </c>
      <c r="CN9" s="58" t="s">
        <v>24</v>
      </c>
      <c r="CO9" s="58" t="s">
        <v>86</v>
      </c>
      <c r="CP9" s="58" t="s">
        <v>13</v>
      </c>
      <c r="CQ9" s="58" t="s">
        <v>87</v>
      </c>
      <c r="CR9" s="58" t="s">
        <v>15</v>
      </c>
      <c r="CS9" s="58" t="s">
        <v>16</v>
      </c>
      <c r="CT9" s="58" t="s">
        <v>17</v>
      </c>
      <c r="CU9" s="58" t="s">
        <v>18</v>
      </c>
      <c r="CV9" s="58" t="s">
        <v>19</v>
      </c>
      <c r="CW9" s="58" t="s">
        <v>20</v>
      </c>
      <c r="CX9" s="58" t="s">
        <v>21</v>
      </c>
      <c r="CY9" s="58" t="s">
        <v>22</v>
      </c>
      <c r="CZ9" s="58" t="s">
        <v>23</v>
      </c>
      <c r="DA9" s="58" t="s">
        <v>88</v>
      </c>
      <c r="DB9" s="58" t="s">
        <v>86</v>
      </c>
      <c r="DC9" s="81" t="s">
        <v>13</v>
      </c>
      <c r="DD9" s="81" t="s">
        <v>14</v>
      </c>
      <c r="DE9" s="81" t="s">
        <v>15</v>
      </c>
      <c r="DF9" s="81" t="s">
        <v>16</v>
      </c>
      <c r="DG9" s="81" t="s">
        <v>17</v>
      </c>
      <c r="DH9" s="81" t="s">
        <v>18</v>
      </c>
      <c r="DI9" s="81" t="s">
        <v>19</v>
      </c>
      <c r="DJ9" s="81" t="s">
        <v>20</v>
      </c>
      <c r="DK9" s="81" t="s">
        <v>21</v>
      </c>
      <c r="DL9" s="39" t="s">
        <v>22</v>
      </c>
      <c r="DM9" s="58" t="s">
        <v>23</v>
      </c>
      <c r="DN9" s="58" t="s">
        <v>24</v>
      </c>
      <c r="DO9" s="58" t="s">
        <v>86</v>
      </c>
      <c r="DP9" s="81" t="s">
        <v>13</v>
      </c>
      <c r="DQ9" s="81" t="s">
        <v>14</v>
      </c>
      <c r="DR9" s="81" t="s">
        <v>15</v>
      </c>
      <c r="DS9" s="81" t="s">
        <v>16</v>
      </c>
      <c r="DT9" s="81" t="s">
        <v>17</v>
      </c>
      <c r="DU9" s="81" t="s">
        <v>18</v>
      </c>
      <c r="DV9" s="81" t="s">
        <v>19</v>
      </c>
      <c r="DW9" s="81" t="s">
        <v>20</v>
      </c>
      <c r="DX9" s="81" t="s">
        <v>21</v>
      </c>
      <c r="DY9" s="181" t="s">
        <v>22</v>
      </c>
      <c r="DZ9" s="183" t="s">
        <v>23</v>
      </c>
      <c r="EA9" s="184" t="s">
        <v>24</v>
      </c>
      <c r="EB9" s="58" t="s">
        <v>86</v>
      </c>
      <c r="EC9" s="81" t="s">
        <v>13</v>
      </c>
      <c r="ED9" s="81" t="s">
        <v>14</v>
      </c>
      <c r="EE9" s="190" t="s">
        <v>15</v>
      </c>
      <c r="EF9" s="192" t="s">
        <v>16</v>
      </c>
      <c r="EG9" s="193" t="s">
        <v>17</v>
      </c>
      <c r="EH9" s="194" t="s">
        <v>18</v>
      </c>
      <c r="EI9" s="195" t="s">
        <v>19</v>
      </c>
      <c r="EJ9" s="196" t="s">
        <v>20</v>
      </c>
      <c r="EK9" s="197" t="s">
        <v>21</v>
      </c>
      <c r="EL9" s="198" t="s">
        <v>22</v>
      </c>
      <c r="EM9" s="199" t="s">
        <v>23</v>
      </c>
      <c r="EN9" s="200" t="s">
        <v>24</v>
      </c>
      <c r="EO9" s="58" t="s">
        <v>86</v>
      </c>
      <c r="EP9" s="202" t="s">
        <v>13</v>
      </c>
      <c r="EQ9" s="205" t="s">
        <v>14</v>
      </c>
      <c r="ER9" s="205" t="s">
        <v>15</v>
      </c>
      <c r="ES9" s="205" t="s">
        <v>16</v>
      </c>
      <c r="ET9" s="205" t="s">
        <v>17</v>
      </c>
      <c r="EU9" s="205" t="s">
        <v>18</v>
      </c>
      <c r="EV9" s="205" t="s">
        <v>19</v>
      </c>
      <c r="EW9" s="205" t="s">
        <v>20</v>
      </c>
      <c r="EX9" s="205" t="s">
        <v>21</v>
      </c>
      <c r="EY9" s="205" t="s">
        <v>22</v>
      </c>
      <c r="EZ9" s="205" t="s">
        <v>23</v>
      </c>
      <c r="FA9" s="205" t="s">
        <v>24</v>
      </c>
      <c r="FB9" s="221" t="s">
        <v>86</v>
      </c>
      <c r="FC9" s="206" t="s">
        <v>13</v>
      </c>
      <c r="FD9" s="206" t="s">
        <v>14</v>
      </c>
      <c r="FE9" s="207" t="s">
        <v>15</v>
      </c>
      <c r="FF9" s="208" t="s">
        <v>16</v>
      </c>
      <c r="FG9" s="209" t="s">
        <v>17</v>
      </c>
      <c r="FH9" s="210" t="s">
        <v>18</v>
      </c>
      <c r="FI9" s="211" t="s">
        <v>19</v>
      </c>
      <c r="FJ9" s="212" t="s">
        <v>20</v>
      </c>
      <c r="FK9" s="213" t="s">
        <v>21</v>
      </c>
      <c r="FL9" s="214" t="s">
        <v>22</v>
      </c>
      <c r="FM9" s="215" t="s">
        <v>23</v>
      </c>
      <c r="FN9" s="221" t="s">
        <v>24</v>
      </c>
      <c r="FO9" s="228" t="s">
        <v>86</v>
      </c>
      <c r="FP9" s="223" t="s">
        <v>13</v>
      </c>
      <c r="FQ9" s="223" t="s">
        <v>14</v>
      </c>
      <c r="FR9" s="224" t="s">
        <v>15</v>
      </c>
      <c r="FS9" s="225" t="s">
        <v>16</v>
      </c>
      <c r="FT9" s="226" t="s">
        <v>17</v>
      </c>
      <c r="FU9" s="227" t="s">
        <v>18</v>
      </c>
      <c r="FV9" s="228" t="s">
        <v>19</v>
      </c>
      <c r="FW9" s="229" t="s">
        <v>20</v>
      </c>
      <c r="FX9" s="230" t="s">
        <v>21</v>
      </c>
      <c r="FY9" s="231" t="s">
        <v>22</v>
      </c>
      <c r="FZ9" s="232" t="s">
        <v>23</v>
      </c>
      <c r="GA9" s="233" t="s">
        <v>24</v>
      </c>
      <c r="GB9" s="240" t="s">
        <v>86</v>
      </c>
      <c r="GC9" s="296" t="s">
        <v>13</v>
      </c>
      <c r="GD9" s="296" t="s">
        <v>14</v>
      </c>
      <c r="GE9" s="296" t="s">
        <v>15</v>
      </c>
      <c r="GF9" s="240" t="s">
        <v>16</v>
      </c>
      <c r="GG9" s="242" t="s">
        <v>17</v>
      </c>
      <c r="GH9" s="244" t="s">
        <v>18</v>
      </c>
      <c r="GI9" s="246" t="s">
        <v>19</v>
      </c>
      <c r="GJ9" s="257" t="s">
        <v>20</v>
      </c>
      <c r="GK9" s="257" t="s">
        <v>21</v>
      </c>
      <c r="GL9" s="257" t="s">
        <v>22</v>
      </c>
      <c r="GM9" s="257" t="s">
        <v>23</v>
      </c>
      <c r="GN9" s="257" t="s">
        <v>24</v>
      </c>
      <c r="GO9" s="312" t="s">
        <v>94</v>
      </c>
      <c r="GP9" s="312" t="s">
        <v>13</v>
      </c>
      <c r="GQ9" s="255" t="s">
        <v>14</v>
      </c>
      <c r="GR9" s="312" t="s">
        <v>15</v>
      </c>
      <c r="GS9" s="312" t="s">
        <v>16</v>
      </c>
      <c r="GT9" s="296" t="s">
        <v>17</v>
      </c>
      <c r="GU9" s="296" t="s">
        <v>18</v>
      </c>
      <c r="GV9" s="312" t="s">
        <v>19</v>
      </c>
      <c r="GW9" s="312" t="s">
        <v>20</v>
      </c>
      <c r="GX9" s="328" t="s">
        <v>21</v>
      </c>
      <c r="GY9" s="329" t="s">
        <v>22</v>
      </c>
      <c r="GZ9" s="330" t="s">
        <v>23</v>
      </c>
      <c r="HA9" s="331" t="s">
        <v>24</v>
      </c>
      <c r="HB9" s="335" t="s">
        <v>13</v>
      </c>
      <c r="HC9" s="335" t="s">
        <v>14</v>
      </c>
      <c r="HD9" s="343" t="s">
        <v>15</v>
      </c>
      <c r="HE9" s="343" t="s">
        <v>16</v>
      </c>
      <c r="HF9" s="343" t="s">
        <v>17</v>
      </c>
      <c r="HG9" s="343" t="s">
        <v>18</v>
      </c>
      <c r="HH9" s="343" t="s">
        <v>19</v>
      </c>
      <c r="HI9" s="343" t="s">
        <v>20</v>
      </c>
      <c r="HJ9" s="343" t="s">
        <v>21</v>
      </c>
      <c r="HK9" s="343" t="s">
        <v>22</v>
      </c>
      <c r="HL9" s="343" t="s">
        <v>23</v>
      </c>
      <c r="HM9" s="343" t="s">
        <v>24</v>
      </c>
      <c r="HN9" s="350" t="s">
        <v>95</v>
      </c>
      <c r="HO9" s="348" t="s">
        <v>13</v>
      </c>
      <c r="HP9" s="354" t="s">
        <v>14</v>
      </c>
      <c r="HQ9" s="357" t="s">
        <v>15</v>
      </c>
      <c r="HR9" s="358" t="s">
        <v>16</v>
      </c>
      <c r="HS9" s="343" t="s">
        <v>17</v>
      </c>
      <c r="HT9" s="343" t="s">
        <v>18</v>
      </c>
      <c r="HU9" s="428" t="s">
        <v>19</v>
      </c>
      <c r="HV9" s="343" t="s">
        <v>20</v>
      </c>
      <c r="HW9" s="343" t="s">
        <v>21</v>
      </c>
      <c r="HX9" s="343" t="s">
        <v>22</v>
      </c>
      <c r="HY9" s="343" t="s">
        <v>23</v>
      </c>
      <c r="HZ9" s="406" t="s">
        <v>24</v>
      </c>
      <c r="IA9" s="343" t="s">
        <v>13</v>
      </c>
      <c r="IB9" s="450" t="s">
        <v>14</v>
      </c>
      <c r="IC9" s="296" t="s">
        <v>15</v>
      </c>
      <c r="ID9" s="296" t="s">
        <v>16</v>
      </c>
      <c r="IE9" s="296" t="s">
        <v>17</v>
      </c>
      <c r="IF9" s="296" t="s">
        <v>18</v>
      </c>
      <c r="IG9" s="448" t="s">
        <v>19</v>
      </c>
      <c r="IH9" s="448" t="s">
        <v>20</v>
      </c>
      <c r="II9" s="448" t="s">
        <v>21</v>
      </c>
      <c r="IJ9" s="448" t="s">
        <v>22</v>
      </c>
      <c r="IK9" s="448" t="s">
        <v>23</v>
      </c>
      <c r="IL9" s="448" t="s">
        <v>24</v>
      </c>
      <c r="IM9" s="296" t="s">
        <v>13</v>
      </c>
      <c r="IN9" s="296" t="s">
        <v>14</v>
      </c>
      <c r="IO9" s="296" t="s">
        <v>15</v>
      </c>
      <c r="IP9" s="296" t="s">
        <v>16</v>
      </c>
      <c r="IQ9" s="296" t="s">
        <v>17</v>
      </c>
      <c r="IR9" s="296" t="s">
        <v>18</v>
      </c>
      <c r="IS9" s="448" t="s">
        <v>19</v>
      </c>
      <c r="IT9" s="448" t="s">
        <v>20</v>
      </c>
      <c r="IU9" s="448" t="s">
        <v>21</v>
      </c>
      <c r="IV9" s="448" t="s">
        <v>22</v>
      </c>
      <c r="IW9" s="448" t="s">
        <v>23</v>
      </c>
      <c r="IX9" s="448" t="s">
        <v>24</v>
      </c>
      <c r="IY9" s="296" t="s">
        <v>13</v>
      </c>
      <c r="IZ9" s="296" t="s">
        <v>14</v>
      </c>
      <c r="JA9" s="296" t="s">
        <v>15</v>
      </c>
      <c r="JB9" s="296" t="s">
        <v>16</v>
      </c>
      <c r="JC9" s="296" t="s">
        <v>17</v>
      </c>
      <c r="JD9" s="296" t="s">
        <v>18</v>
      </c>
      <c r="JE9" s="448" t="s">
        <v>19</v>
      </c>
      <c r="JF9" s="448" t="s">
        <v>20</v>
      </c>
      <c r="JG9" s="448" t="s">
        <v>21</v>
      </c>
      <c r="JH9" s="448" t="s">
        <v>22</v>
      </c>
      <c r="JI9" s="448" t="s">
        <v>23</v>
      </c>
      <c r="JJ9" s="448" t="s">
        <v>24</v>
      </c>
      <c r="JK9" s="448" t="s">
        <v>96</v>
      </c>
      <c r="JL9" s="448" t="s">
        <v>96</v>
      </c>
      <c r="JM9" s="1"/>
      <c r="JN9" s="1"/>
      <c r="JO9" s="8"/>
      <c r="JP9" s="8"/>
      <c r="JQ9" s="3"/>
      <c r="JR9" s="3"/>
      <c r="JS9" s="8"/>
      <c r="JT9" s="4"/>
      <c r="JU9" s="4"/>
    </row>
    <row r="10" spans="1:281" ht="12.75" customHeight="1" x14ac:dyDescent="0.25">
      <c r="A10" s="216" t="s">
        <v>68</v>
      </c>
      <c r="B10" s="34"/>
      <c r="C10" s="34"/>
      <c r="D10" s="34"/>
      <c r="E10" s="43"/>
      <c r="F10" s="43"/>
      <c r="G10" s="43"/>
      <c r="H10" s="42"/>
      <c r="I10" s="42"/>
      <c r="J10" s="42"/>
      <c r="K10" s="42"/>
      <c r="L10" s="42"/>
      <c r="M10" s="42"/>
      <c r="N10" s="43"/>
      <c r="O10" s="86"/>
      <c r="P10" s="42"/>
      <c r="Q10" s="87"/>
      <c r="R10" s="87"/>
      <c r="S10" s="42"/>
      <c r="T10" s="88"/>
      <c r="U10" s="88"/>
      <c r="V10" s="87"/>
      <c r="W10" s="87"/>
      <c r="X10" s="87"/>
      <c r="Y10" s="88"/>
      <c r="Z10" s="87"/>
      <c r="AA10" s="87"/>
      <c r="AB10" s="87"/>
      <c r="AC10" s="88"/>
      <c r="AD10" s="87"/>
      <c r="AE10" s="88"/>
      <c r="AF10" s="87"/>
      <c r="AG10" s="87"/>
      <c r="AH10" s="88"/>
      <c r="AI10" s="88"/>
      <c r="AJ10" s="87"/>
      <c r="AK10" s="88"/>
      <c r="AL10" s="88"/>
      <c r="AM10" s="88"/>
      <c r="AN10" s="88"/>
      <c r="AO10" s="88"/>
      <c r="AP10" s="87"/>
      <c r="AQ10" s="87"/>
      <c r="AR10" s="87"/>
      <c r="AS10" s="87"/>
      <c r="AT10" s="87"/>
      <c r="AU10" s="42"/>
      <c r="AV10" s="87"/>
      <c r="AW10" s="89"/>
      <c r="AX10" s="87"/>
      <c r="AY10" s="87"/>
      <c r="AZ10" s="89"/>
      <c r="BA10" s="87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47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297"/>
      <c r="GD10" s="297"/>
      <c r="GE10" s="297"/>
      <c r="GF10" s="47"/>
      <c r="GG10" s="47"/>
      <c r="GH10" s="47"/>
      <c r="GI10" s="47"/>
      <c r="GJ10" s="47"/>
      <c r="GK10" s="47"/>
      <c r="GL10" s="47"/>
      <c r="GM10" s="47"/>
      <c r="GN10" s="47"/>
      <c r="GO10" s="313"/>
      <c r="GP10" s="313"/>
      <c r="GQ10" s="47"/>
      <c r="GR10" s="313"/>
      <c r="GS10" s="313"/>
      <c r="GT10" s="297"/>
      <c r="GU10" s="297"/>
      <c r="GV10" s="313"/>
      <c r="GW10" s="313"/>
      <c r="GX10" s="313"/>
      <c r="GY10" s="313"/>
      <c r="GZ10" s="313"/>
      <c r="HA10" s="313"/>
      <c r="HB10" s="313"/>
      <c r="HC10" s="313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297"/>
      <c r="HZ10" s="313"/>
      <c r="IA10" s="297"/>
      <c r="IB10" s="451"/>
      <c r="IC10" s="452"/>
      <c r="ID10" s="452"/>
      <c r="IE10" s="452"/>
      <c r="IF10" s="452"/>
      <c r="IG10" s="449"/>
      <c r="IH10" s="449"/>
      <c r="II10" s="449"/>
      <c r="IJ10" s="449"/>
      <c r="IK10" s="449"/>
      <c r="IL10" s="449"/>
      <c r="IM10" s="297"/>
      <c r="IN10" s="452"/>
      <c r="IO10" s="452"/>
      <c r="IP10" s="452"/>
      <c r="IQ10" s="452"/>
      <c r="IR10" s="452"/>
      <c r="IS10" s="449"/>
      <c r="IT10" s="449"/>
      <c r="IU10" s="449"/>
      <c r="IV10" s="449"/>
      <c r="IW10" s="449"/>
      <c r="IX10" s="449"/>
      <c r="IY10" s="449"/>
      <c r="IZ10" s="449"/>
      <c r="JA10" s="449"/>
      <c r="JB10" s="449"/>
      <c r="JC10" s="449"/>
      <c r="JD10" s="449"/>
      <c r="JE10" s="449"/>
      <c r="JF10" s="449"/>
      <c r="JG10" s="449"/>
      <c r="JH10" s="449"/>
      <c r="JI10" s="449"/>
      <c r="JJ10" s="449"/>
      <c r="JK10" s="449"/>
      <c r="JL10" s="297"/>
      <c r="JM10" s="2"/>
      <c r="JN10" s="2"/>
      <c r="JO10" s="2"/>
      <c r="JP10" s="2"/>
      <c r="JQ10" s="2"/>
      <c r="JR10" s="2"/>
      <c r="JS10" s="2"/>
      <c r="JT10" s="3"/>
      <c r="JU10" s="2"/>
    </row>
    <row r="11" spans="1:281" s="303" customFormat="1" x14ac:dyDescent="0.25">
      <c r="A11" s="218" t="s">
        <v>26</v>
      </c>
      <c r="B11" s="34"/>
      <c r="C11" s="34"/>
      <c r="D11" s="34"/>
      <c r="E11" s="79">
        <f t="shared" ref="E11:Q11" si="0">SUM(E13:E19)</f>
        <v>57108</v>
      </c>
      <c r="F11" s="79">
        <f t="shared" si="0"/>
        <v>47063</v>
      </c>
      <c r="G11" s="79">
        <f t="shared" si="0"/>
        <v>34941</v>
      </c>
      <c r="H11" s="79">
        <f t="shared" si="0"/>
        <v>37314</v>
      </c>
      <c r="I11" s="79">
        <f t="shared" si="0"/>
        <v>54098</v>
      </c>
      <c r="J11" s="79">
        <f t="shared" si="0"/>
        <v>27772</v>
      </c>
      <c r="K11" s="79">
        <f t="shared" si="0"/>
        <v>41448</v>
      </c>
      <c r="L11" s="79">
        <f t="shared" si="0"/>
        <v>101421</v>
      </c>
      <c r="M11" s="79">
        <f t="shared" si="0"/>
        <v>82787</v>
      </c>
      <c r="N11" s="92">
        <f t="shared" si="0"/>
        <v>23334</v>
      </c>
      <c r="O11" s="93">
        <f t="shared" si="0"/>
        <v>23854</v>
      </c>
      <c r="P11" s="92">
        <f t="shared" si="0"/>
        <v>47416</v>
      </c>
      <c r="Q11" s="93">
        <f t="shared" si="0"/>
        <v>49530</v>
      </c>
      <c r="R11" s="93">
        <v>67853.391000000003</v>
      </c>
      <c r="S11" s="92">
        <f t="shared" ref="S11:AE11" si="1">SUM(S13:S19)</f>
        <v>3728</v>
      </c>
      <c r="T11" s="92">
        <f t="shared" si="1"/>
        <v>5936</v>
      </c>
      <c r="U11" s="93">
        <f t="shared" si="1"/>
        <v>4483</v>
      </c>
      <c r="V11" s="93">
        <f t="shared" si="1"/>
        <v>7196</v>
      </c>
      <c r="W11" s="93">
        <f t="shared" si="1"/>
        <v>5789</v>
      </c>
      <c r="X11" s="93">
        <f t="shared" si="1"/>
        <v>4075</v>
      </c>
      <c r="Y11" s="94">
        <f t="shared" si="1"/>
        <v>4648</v>
      </c>
      <c r="Z11" s="93">
        <f t="shared" si="1"/>
        <v>6994</v>
      </c>
      <c r="AA11" s="93">
        <f t="shared" si="1"/>
        <v>4916</v>
      </c>
      <c r="AB11" s="93">
        <f t="shared" si="1"/>
        <v>4232</v>
      </c>
      <c r="AC11" s="93">
        <f t="shared" si="1"/>
        <v>7358</v>
      </c>
      <c r="AD11" s="93">
        <f t="shared" si="1"/>
        <v>8498.3909999999996</v>
      </c>
      <c r="AE11" s="94">
        <f t="shared" si="1"/>
        <v>67853.391000000003</v>
      </c>
      <c r="AF11" s="93">
        <v>58259.837</v>
      </c>
      <c r="AG11" s="69">
        <v>54152</v>
      </c>
      <c r="AH11" s="95">
        <v>53992</v>
      </c>
      <c r="AI11" s="95">
        <v>47689</v>
      </c>
      <c r="AJ11" s="95">
        <v>54286</v>
      </c>
      <c r="AK11" s="95">
        <v>46990</v>
      </c>
      <c r="AL11" s="95">
        <v>33642.619000000006</v>
      </c>
      <c r="AM11" s="95">
        <f t="shared" ref="AM11:BA11" si="2">SUM(AM13:AM19)</f>
        <v>24010.722999999998</v>
      </c>
      <c r="AN11" s="95">
        <f t="shared" si="2"/>
        <v>2415.1</v>
      </c>
      <c r="AO11" s="95">
        <f t="shared" si="2"/>
        <v>2425.5039999999999</v>
      </c>
      <c r="AP11" s="95">
        <f t="shared" si="2"/>
        <v>1655.5730000000001</v>
      </c>
      <c r="AQ11" s="95">
        <f t="shared" si="2"/>
        <v>318.2</v>
      </c>
      <c r="AR11" s="95">
        <f t="shared" si="2"/>
        <v>1794.0910000000001</v>
      </c>
      <c r="AS11" s="95">
        <f t="shared" si="2"/>
        <v>1044.675</v>
      </c>
      <c r="AT11" s="95">
        <f t="shared" si="2"/>
        <v>2569.1899999999996</v>
      </c>
      <c r="AU11" s="95">
        <f t="shared" si="2"/>
        <v>1641.5</v>
      </c>
      <c r="AV11" s="95">
        <f t="shared" si="2"/>
        <v>2049.7510000000002</v>
      </c>
      <c r="AW11" s="95">
        <f t="shared" si="2"/>
        <v>2799.808</v>
      </c>
      <c r="AX11" s="95">
        <f t="shared" si="2"/>
        <v>3407.55</v>
      </c>
      <c r="AY11" s="95">
        <f t="shared" si="2"/>
        <v>2339.681</v>
      </c>
      <c r="AZ11" s="95">
        <f t="shared" si="2"/>
        <v>24460.623</v>
      </c>
      <c r="BA11" s="95">
        <f t="shared" si="2"/>
        <v>37383.42</v>
      </c>
      <c r="BB11" s="95">
        <v>28086.832999999999</v>
      </c>
      <c r="BC11" s="95">
        <v>57242.317000000003</v>
      </c>
      <c r="BD11" s="95">
        <v>71437.853000000003</v>
      </c>
      <c r="BE11" s="95">
        <v>14168.782999999999</v>
      </c>
      <c r="BF11" s="333">
        <v>19038.147000000001</v>
      </c>
      <c r="BG11" s="333">
        <v>18382.767</v>
      </c>
      <c r="BH11" s="333">
        <v>16133.653</v>
      </c>
      <c r="BI11" s="333">
        <v>23155.449000000001</v>
      </c>
      <c r="BJ11" s="333">
        <v>19098.832000000002</v>
      </c>
      <c r="BK11" s="333">
        <v>15946.143</v>
      </c>
      <c r="BL11" s="333">
        <v>35940.593999999997</v>
      </c>
      <c r="BM11" s="333">
        <v>23990.133000000002</v>
      </c>
      <c r="BN11" s="333">
        <v>15764.463999999998</v>
      </c>
      <c r="BO11" s="333">
        <v>24094.479000000003</v>
      </c>
      <c r="BP11" s="333">
        <v>855.16600000000005</v>
      </c>
      <c r="BQ11" s="333">
        <v>1433.4929999999999</v>
      </c>
      <c r="BR11" s="333">
        <v>2530.1</v>
      </c>
      <c r="BS11" s="333">
        <v>1332.9</v>
      </c>
      <c r="BT11" s="333">
        <v>565.51499999999999</v>
      </c>
      <c r="BU11" s="333">
        <v>499.95</v>
      </c>
      <c r="BV11" s="333">
        <v>1089.6100000000001</v>
      </c>
      <c r="BW11" s="333">
        <v>2452.0499999999997</v>
      </c>
      <c r="BX11" s="333">
        <v>1574.27</v>
      </c>
      <c r="BY11" s="333">
        <v>2239.8999999999996</v>
      </c>
      <c r="BZ11" s="333">
        <v>673</v>
      </c>
      <c r="CA11" s="333">
        <v>15764.463999999998</v>
      </c>
      <c r="CB11" s="333">
        <f t="shared" ref="CB11" si="3">SUM(CB13:CB19)</f>
        <v>30667.499999999996</v>
      </c>
      <c r="CC11" s="333">
        <f t="shared" ref="CC11:CN11" si="4">SUM(CC13:CC19)</f>
        <v>2082.1999999999998</v>
      </c>
      <c r="CD11" s="333">
        <f t="shared" si="4"/>
        <v>1273.3499999999999</v>
      </c>
      <c r="CE11" s="333">
        <f t="shared" si="4"/>
        <v>1255.2</v>
      </c>
      <c r="CF11" s="333">
        <f t="shared" si="4"/>
        <v>1437.8000000000002</v>
      </c>
      <c r="CG11" s="333">
        <f t="shared" si="4"/>
        <v>3233.3</v>
      </c>
      <c r="CH11" s="333">
        <f t="shared" si="4"/>
        <v>3718.75</v>
      </c>
      <c r="CI11" s="333">
        <f t="shared" si="4"/>
        <v>3654.4</v>
      </c>
      <c r="CJ11" s="333">
        <f t="shared" si="4"/>
        <v>1363.075</v>
      </c>
      <c r="CK11" s="333">
        <f t="shared" si="4"/>
        <v>2795.7</v>
      </c>
      <c r="CL11" s="333">
        <f t="shared" si="4"/>
        <v>1965.45</v>
      </c>
      <c r="CM11" s="333">
        <f t="shared" si="4"/>
        <v>2960.65</v>
      </c>
      <c r="CN11" s="333">
        <f t="shared" si="4"/>
        <v>2346.9580000000001</v>
      </c>
      <c r="CO11" s="333">
        <f>SUM(CO13:CO19)</f>
        <v>28086.832999999999</v>
      </c>
      <c r="CP11" s="333">
        <f>SUM(CP13:CP19)</f>
        <v>3209.348</v>
      </c>
      <c r="CQ11" s="333">
        <f t="shared" ref="CQ11:DB11" si="5">SUM(CQ13:CQ19)</f>
        <v>4750.5609999999997</v>
      </c>
      <c r="CR11" s="333">
        <f t="shared" si="5"/>
        <v>3929.3629999999998</v>
      </c>
      <c r="CS11" s="333">
        <f t="shared" si="5"/>
        <v>3727.36</v>
      </c>
      <c r="CT11" s="333">
        <f t="shared" si="5"/>
        <v>3611.8679999999999</v>
      </c>
      <c r="CU11" s="333">
        <f t="shared" si="5"/>
        <v>3435.9650000000001</v>
      </c>
      <c r="CV11" s="333">
        <f t="shared" si="5"/>
        <v>3742.317</v>
      </c>
      <c r="CW11" s="333">
        <f t="shared" si="5"/>
        <v>7442.6360000000004</v>
      </c>
      <c r="CX11" s="333">
        <f t="shared" si="5"/>
        <v>4794.768</v>
      </c>
      <c r="CY11" s="333">
        <f t="shared" si="5"/>
        <v>6670.6949999999997</v>
      </c>
      <c r="CZ11" s="333">
        <f t="shared" si="5"/>
        <v>8860.6200000000008</v>
      </c>
      <c r="DA11" s="333">
        <f t="shared" si="5"/>
        <v>3066.8159999999998</v>
      </c>
      <c r="DB11" s="333">
        <f t="shared" si="5"/>
        <v>57242.317000000003</v>
      </c>
      <c r="DC11" s="333">
        <f t="shared" ref="DC11:DN11" si="6">SUM(DC13:DC19)</f>
        <v>5184.1469999999999</v>
      </c>
      <c r="DD11" s="333">
        <f t="shared" si="6"/>
        <v>7771.02</v>
      </c>
      <c r="DE11" s="333">
        <f t="shared" si="6"/>
        <v>8653.5489999999991</v>
      </c>
      <c r="DF11" s="333">
        <f t="shared" si="6"/>
        <v>3875.0929999999998</v>
      </c>
      <c r="DG11" s="333">
        <f t="shared" si="6"/>
        <v>5530.76</v>
      </c>
      <c r="DH11" s="333">
        <f t="shared" si="6"/>
        <v>7215.74</v>
      </c>
      <c r="DI11" s="333">
        <f t="shared" si="6"/>
        <v>6526.1680000000006</v>
      </c>
      <c r="DJ11" s="333">
        <f t="shared" si="6"/>
        <v>4714.2640000000001</v>
      </c>
      <c r="DK11" s="333">
        <f t="shared" si="6"/>
        <v>4343.5129999999999</v>
      </c>
      <c r="DL11" s="333">
        <f t="shared" si="6"/>
        <v>4383.3890000000001</v>
      </c>
      <c r="DM11" s="333">
        <f t="shared" si="6"/>
        <v>7651.3119999999999</v>
      </c>
      <c r="DN11" s="333">
        <f t="shared" si="6"/>
        <v>4590.5869999999995</v>
      </c>
      <c r="DO11" s="333">
        <f>SUM(DO13:DO19)</f>
        <v>70439.542000000001</v>
      </c>
      <c r="DP11" s="333">
        <f t="shared" ref="DP11:EA11" si="7">SUM(DP13:DP19)</f>
        <v>1066.5929999999998</v>
      </c>
      <c r="DQ11" s="333">
        <f t="shared" si="7"/>
        <v>391.65499999999997</v>
      </c>
      <c r="DR11" s="333">
        <f t="shared" si="7"/>
        <v>1357.5230000000001</v>
      </c>
      <c r="DS11" s="333">
        <f t="shared" si="7"/>
        <v>622.10900000000004</v>
      </c>
      <c r="DT11" s="333">
        <f t="shared" si="7"/>
        <v>2357.9110000000001</v>
      </c>
      <c r="DU11" s="333">
        <f t="shared" si="7"/>
        <v>96.804000000000002</v>
      </c>
      <c r="DV11" s="333">
        <f t="shared" si="7"/>
        <v>2130.694</v>
      </c>
      <c r="DW11" s="333">
        <f t="shared" si="7"/>
        <v>701.03500000000008</v>
      </c>
      <c r="DX11" s="333">
        <f t="shared" si="7"/>
        <v>1970.6840000000002</v>
      </c>
      <c r="DY11" s="333">
        <f t="shared" si="7"/>
        <v>1816.1959999999999</v>
      </c>
      <c r="DZ11" s="333">
        <f t="shared" si="7"/>
        <v>333.82899999999995</v>
      </c>
      <c r="EA11" s="333">
        <f t="shared" si="7"/>
        <v>1323.75</v>
      </c>
      <c r="EB11" s="333">
        <f>SUM(EB13:EB19)</f>
        <v>14168.782999999999</v>
      </c>
      <c r="EC11" s="333">
        <f t="shared" ref="EC11:EL11" si="8">SUM(EC13:EC19)</f>
        <v>1544.0150000000001</v>
      </c>
      <c r="ED11" s="333">
        <f t="shared" si="8"/>
        <v>255.56199999999998</v>
      </c>
      <c r="EE11" s="333">
        <f t="shared" si="8"/>
        <v>1761.846</v>
      </c>
      <c r="EF11" s="333">
        <f t="shared" si="8"/>
        <v>594.84500000000003</v>
      </c>
      <c r="EG11" s="333">
        <f t="shared" si="8"/>
        <v>1087.808</v>
      </c>
      <c r="EH11" s="333">
        <f t="shared" si="8"/>
        <v>1580.4800000000002</v>
      </c>
      <c r="EI11" s="333">
        <f t="shared" si="8"/>
        <v>2011.404</v>
      </c>
      <c r="EJ11" s="333">
        <f t="shared" si="8"/>
        <v>1519.316</v>
      </c>
      <c r="EK11" s="333">
        <f t="shared" si="8"/>
        <v>1804.586</v>
      </c>
      <c r="EL11" s="333">
        <f t="shared" si="8"/>
        <v>1969.3620000000001</v>
      </c>
      <c r="EM11" s="333">
        <f>SUM(EM13:EM19)</f>
        <v>1875.9959999999999</v>
      </c>
      <c r="EN11" s="333">
        <f>SUM(EN13:EN19)</f>
        <v>3032.527</v>
      </c>
      <c r="EO11" s="333">
        <f>SUM(EO13:EO19)</f>
        <v>19037.747000000003</v>
      </c>
      <c r="EP11" s="333">
        <f t="shared" ref="EP11:FA11" si="9">SUM(EP13:EP19)</f>
        <v>4176.0820000000003</v>
      </c>
      <c r="EQ11" s="333">
        <f t="shared" si="9"/>
        <v>1368.87</v>
      </c>
      <c r="ER11" s="333">
        <f t="shared" si="9"/>
        <v>1068.9950000000001</v>
      </c>
      <c r="ES11" s="333" t="e">
        <f t="shared" si="9"/>
        <v>#REF!</v>
      </c>
      <c r="ET11" s="333">
        <f t="shared" si="9"/>
        <v>1511.3910000000001</v>
      </c>
      <c r="EU11" s="333">
        <f t="shared" si="9"/>
        <v>1231.2760000000001</v>
      </c>
      <c r="EV11" s="333">
        <f t="shared" si="9"/>
        <v>1389.7629999999999</v>
      </c>
      <c r="EW11" s="333">
        <f t="shared" si="9"/>
        <v>168.184</v>
      </c>
      <c r="EX11" s="333">
        <f t="shared" si="9"/>
        <v>438.053</v>
      </c>
      <c r="EY11" s="333">
        <f t="shared" si="9"/>
        <v>347.58600000000001</v>
      </c>
      <c r="EZ11" s="333">
        <f t="shared" si="9"/>
        <v>2910.732</v>
      </c>
      <c r="FA11" s="333">
        <f t="shared" si="9"/>
        <v>1323.961</v>
      </c>
      <c r="FB11" s="333" t="e">
        <f>SUM(FB13:FB19)</f>
        <v>#REF!</v>
      </c>
      <c r="FC11" s="333">
        <f t="shared" ref="FC11:FN11" si="10">SUM(FC13:FC19)</f>
        <v>2301.4669999999996</v>
      </c>
      <c r="FD11" s="333">
        <f t="shared" si="10"/>
        <v>611.65</v>
      </c>
      <c r="FE11" s="333">
        <f t="shared" si="10"/>
        <v>1139.7439999999999</v>
      </c>
      <c r="FF11" s="333">
        <f t="shared" si="10"/>
        <v>1407.057</v>
      </c>
      <c r="FG11" s="333">
        <f t="shared" si="10"/>
        <v>1095.8700000000001</v>
      </c>
      <c r="FH11" s="333">
        <f t="shared" si="10"/>
        <v>2171.7379999999998</v>
      </c>
      <c r="FI11" s="333">
        <f t="shared" si="10"/>
        <v>2089.5500000000002</v>
      </c>
      <c r="FJ11" s="333">
        <f t="shared" si="10"/>
        <v>1506.711</v>
      </c>
      <c r="FK11" s="333">
        <f t="shared" si="10"/>
        <v>1296.7470000000001</v>
      </c>
      <c r="FL11" s="333">
        <f t="shared" si="10"/>
        <v>92.986000000000004</v>
      </c>
      <c r="FM11" s="333">
        <f t="shared" si="10"/>
        <v>1680.934</v>
      </c>
      <c r="FN11" s="333">
        <f t="shared" si="10"/>
        <v>739.19899999999996</v>
      </c>
      <c r="FO11" s="333">
        <f>SUM(FO13:FO19)</f>
        <v>16133.653</v>
      </c>
      <c r="FP11" s="333">
        <f t="shared" ref="FP11:GN11" si="11">SUM(FP13:FP19)</f>
        <v>1547.6709999999998</v>
      </c>
      <c r="FQ11" s="333">
        <f t="shared" si="11"/>
        <v>874.4140000000001</v>
      </c>
      <c r="FR11" s="333">
        <f t="shared" si="11"/>
        <v>1990.0450000000001</v>
      </c>
      <c r="FS11" s="333">
        <f t="shared" si="11"/>
        <v>3868.15</v>
      </c>
      <c r="FT11" s="333">
        <f t="shared" si="11"/>
        <v>5237.8729999999996</v>
      </c>
      <c r="FU11" s="333">
        <f t="shared" si="11"/>
        <v>89.074000000000012</v>
      </c>
      <c r="FV11" s="333">
        <f t="shared" si="11"/>
        <v>1294.0640000000001</v>
      </c>
      <c r="FW11" s="333">
        <f t="shared" si="11"/>
        <v>2544.4699999999998</v>
      </c>
      <c r="FX11" s="333">
        <f t="shared" si="11"/>
        <v>2009.85</v>
      </c>
      <c r="FY11" s="333">
        <f t="shared" si="11"/>
        <v>2151.14</v>
      </c>
      <c r="FZ11" s="333">
        <f t="shared" si="11"/>
        <v>787.65</v>
      </c>
      <c r="GA11" s="333">
        <f t="shared" si="11"/>
        <v>761.048</v>
      </c>
      <c r="GB11" s="333">
        <f t="shared" si="11"/>
        <v>23155.449000000001</v>
      </c>
      <c r="GC11" s="333">
        <f t="shared" si="11"/>
        <v>1891.44</v>
      </c>
      <c r="GD11" s="333">
        <f t="shared" si="11"/>
        <v>2081.92</v>
      </c>
      <c r="GE11" s="333">
        <f t="shared" si="11"/>
        <v>1799.2450000000001</v>
      </c>
      <c r="GF11" s="333">
        <f t="shared" si="11"/>
        <v>501.88</v>
      </c>
      <c r="GG11" s="333">
        <f t="shared" si="11"/>
        <v>5043.0379999999996</v>
      </c>
      <c r="GH11" s="333">
        <f t="shared" si="11"/>
        <v>1335.14</v>
      </c>
      <c r="GI11" s="333">
        <f t="shared" si="11"/>
        <v>71</v>
      </c>
      <c r="GJ11" s="333">
        <f t="shared" si="11"/>
        <v>621.11</v>
      </c>
      <c r="GK11" s="333">
        <f t="shared" si="11"/>
        <v>1047.836</v>
      </c>
      <c r="GL11" s="333">
        <f t="shared" si="11"/>
        <v>1455.9349999999999</v>
      </c>
      <c r="GM11" s="333">
        <f t="shared" si="11"/>
        <v>1370.6200000000001</v>
      </c>
      <c r="GN11" s="333">
        <f t="shared" si="11"/>
        <v>1879.6679999999999</v>
      </c>
      <c r="GO11" s="333">
        <f>SUM(GO13:GO19)</f>
        <v>19098.832000000002</v>
      </c>
      <c r="GP11" s="333">
        <f>SUM(GP13:GP19)</f>
        <v>1551.6200000000001</v>
      </c>
      <c r="GQ11" s="333">
        <f>SUM(GQ13:GQ19)</f>
        <v>571.98</v>
      </c>
      <c r="GR11" s="333">
        <f t="shared" ref="GR11:HA11" si="12">SUM(GR13:GR19)</f>
        <v>1500.25</v>
      </c>
      <c r="GS11" s="333">
        <f t="shared" si="12"/>
        <v>500</v>
      </c>
      <c r="GT11" s="333">
        <f t="shared" si="12"/>
        <v>29.9</v>
      </c>
      <c r="GU11" s="333">
        <f t="shared" si="12"/>
        <v>1500</v>
      </c>
      <c r="GV11" s="333">
        <f t="shared" si="12"/>
        <v>1546.1210000000001</v>
      </c>
      <c r="GW11" s="333">
        <f t="shared" si="12"/>
        <v>2695.55</v>
      </c>
      <c r="GX11" s="333">
        <f t="shared" si="12"/>
        <v>315.12400000000002</v>
      </c>
      <c r="GY11" s="333">
        <f t="shared" si="12"/>
        <v>1821.73</v>
      </c>
      <c r="GZ11" s="333">
        <f t="shared" si="12"/>
        <v>2212.25</v>
      </c>
      <c r="HA11" s="333">
        <f t="shared" si="12"/>
        <v>1701.6179999999999</v>
      </c>
      <c r="HB11" s="333">
        <f t="shared" ref="HB11:HR11" si="13">SUM(HB13:HB19)</f>
        <v>781.98299999999995</v>
      </c>
      <c r="HC11" s="333">
        <f t="shared" si="13"/>
        <v>2562.9</v>
      </c>
      <c r="HD11" s="333">
        <f t="shared" si="13"/>
        <v>3600.89</v>
      </c>
      <c r="HE11" s="333">
        <f t="shared" si="13"/>
        <v>4422.2520000000004</v>
      </c>
      <c r="HF11" s="333">
        <f t="shared" si="13"/>
        <v>2327.6</v>
      </c>
      <c r="HG11" s="333">
        <f t="shared" si="13"/>
        <v>2497.13</v>
      </c>
      <c r="HH11" s="333">
        <f>SUM(HH13:HH19)</f>
        <v>5813.24</v>
      </c>
      <c r="HI11" s="333">
        <f>SUM(HI13:HI19)</f>
        <v>4490.9359999999997</v>
      </c>
      <c r="HJ11" s="333">
        <f>SUM(HJ13:HJ19)</f>
        <v>884.45</v>
      </c>
      <c r="HK11" s="333">
        <f t="shared" si="13"/>
        <v>384.89499999999998</v>
      </c>
      <c r="HL11" s="333">
        <f t="shared" si="13"/>
        <v>2328.8130000000001</v>
      </c>
      <c r="HM11" s="333">
        <f t="shared" si="13"/>
        <v>5845.5050000000001</v>
      </c>
      <c r="HN11" s="333">
        <f>SUM(HB11:HM11)</f>
        <v>35940.594000000005</v>
      </c>
      <c r="HO11" s="333">
        <f>SUM(HO13:HO19)</f>
        <v>3233.27</v>
      </c>
      <c r="HP11" s="333">
        <f t="shared" si="13"/>
        <v>2635.2</v>
      </c>
      <c r="HQ11" s="333">
        <f t="shared" si="13"/>
        <v>1789.297</v>
      </c>
      <c r="HR11" s="333">
        <f t="shared" si="13"/>
        <v>17.41</v>
      </c>
      <c r="HS11" s="333">
        <f>SUM(HS13:HS19)</f>
        <v>2880.2020000000002</v>
      </c>
      <c r="HT11" s="333">
        <f>SUM(HT13:HT19)</f>
        <v>4089.2449999999999</v>
      </c>
      <c r="HU11" s="408">
        <f>HU13+HU14+HU15+HU16+HU17+HU18+HU19</f>
        <v>3527.7299999999996</v>
      </c>
      <c r="HV11" s="333">
        <f t="shared" ref="HV11:HZ11" si="14">HV13+HV14+HV15+HV16+HV17+HV18+HV19</f>
        <v>1887.9110000000001</v>
      </c>
      <c r="HW11" s="333">
        <f t="shared" si="14"/>
        <v>189.43099999999998</v>
      </c>
      <c r="HX11" s="333">
        <f t="shared" si="14"/>
        <v>2034</v>
      </c>
      <c r="HY11" s="333">
        <f t="shared" si="14"/>
        <v>1198.72</v>
      </c>
      <c r="HZ11" s="408">
        <f t="shared" si="14"/>
        <v>507.71699999999998</v>
      </c>
      <c r="IA11" s="333">
        <v>518.51</v>
      </c>
      <c r="IB11" s="333">
        <f t="shared" ref="IB11:IH11" si="15">IB13+IB14+IB15+IB16+IB17+IB18+IB19</f>
        <v>855.16600000000005</v>
      </c>
      <c r="IC11" s="333">
        <f t="shared" si="15"/>
        <v>1433.4929999999999</v>
      </c>
      <c r="ID11" s="333">
        <f t="shared" si="15"/>
        <v>2530.1</v>
      </c>
      <c r="IE11" s="333">
        <f t="shared" si="15"/>
        <v>1332.9</v>
      </c>
      <c r="IF11" s="333">
        <f t="shared" si="15"/>
        <v>565.51499999999999</v>
      </c>
      <c r="IG11" s="408">
        <f t="shared" si="15"/>
        <v>499.95</v>
      </c>
      <c r="IH11" s="333">
        <f t="shared" si="15"/>
        <v>1089.6100000000001</v>
      </c>
      <c r="II11" s="333">
        <f t="shared" ref="II11:IZ11" si="16">II13+II14+II15+II16+II17+II18+II19</f>
        <v>2452.0499999999997</v>
      </c>
      <c r="IJ11" s="408">
        <f t="shared" si="16"/>
        <v>1574.27</v>
      </c>
      <c r="IK11" s="408">
        <f t="shared" si="16"/>
        <v>2239.8999999999996</v>
      </c>
      <c r="IL11" s="408">
        <f t="shared" si="16"/>
        <v>673</v>
      </c>
      <c r="IM11" s="408">
        <f t="shared" si="16"/>
        <v>1836.575</v>
      </c>
      <c r="IN11" s="408">
        <f t="shared" si="16"/>
        <v>1859.53</v>
      </c>
      <c r="IO11" s="408">
        <f t="shared" si="16"/>
        <v>2359.9349999999999</v>
      </c>
      <c r="IP11" s="408">
        <f t="shared" si="16"/>
        <v>1469.3</v>
      </c>
      <c r="IQ11" s="408">
        <f t="shared" si="16"/>
        <v>1052.45</v>
      </c>
      <c r="IR11" s="408">
        <f t="shared" si="16"/>
        <v>1246.3600000000001</v>
      </c>
      <c r="IS11" s="408">
        <f t="shared" si="16"/>
        <v>2510.5</v>
      </c>
      <c r="IT11" s="408">
        <f t="shared" si="16"/>
        <v>3000.0699999999997</v>
      </c>
      <c r="IU11" s="408">
        <f t="shared" si="16"/>
        <v>4580.8490000000002</v>
      </c>
      <c r="IV11" s="408">
        <f t="shared" si="16"/>
        <v>310</v>
      </c>
      <c r="IW11" s="408">
        <f t="shared" si="16"/>
        <v>1678.4749999999999</v>
      </c>
      <c r="IX11" s="408">
        <f t="shared" si="16"/>
        <v>2190.4349999999999</v>
      </c>
      <c r="IY11" s="408">
        <f t="shared" si="16"/>
        <v>2256.48</v>
      </c>
      <c r="IZ11" s="408">
        <f t="shared" si="16"/>
        <v>4070.4</v>
      </c>
      <c r="JA11" s="408"/>
      <c r="JB11" s="408"/>
      <c r="JC11" s="408"/>
      <c r="JD11" s="408"/>
      <c r="JE11" s="408"/>
      <c r="JF11" s="408"/>
      <c r="JG11" s="408"/>
      <c r="JH11" s="408"/>
      <c r="JI11" s="408"/>
      <c r="JJ11" s="408"/>
      <c r="JK11" s="408">
        <f>+JK13+JK14+JK15+JK16+JK17+JK18+JK19</f>
        <v>3696.105</v>
      </c>
      <c r="JL11" s="408">
        <f>+JL13+JL14+JL15+JL16+JL17+JL18+JL19</f>
        <v>6326.88</v>
      </c>
      <c r="JM11" s="302"/>
      <c r="JN11" s="302"/>
      <c r="JO11" s="302"/>
      <c r="JP11" s="302"/>
      <c r="JQ11" s="302"/>
      <c r="JR11" s="302"/>
      <c r="JS11" s="302"/>
      <c r="JT11" s="302"/>
      <c r="JU11" s="302"/>
    </row>
    <row r="12" spans="1:281" x14ac:dyDescent="0.25">
      <c r="A12" s="55"/>
      <c r="B12" s="34"/>
      <c r="C12" s="34"/>
      <c r="D12" s="34"/>
      <c r="E12" s="79"/>
      <c r="F12" s="79"/>
      <c r="G12" s="79"/>
      <c r="H12" s="79"/>
      <c r="I12" s="79"/>
      <c r="J12" s="79"/>
      <c r="K12" s="79"/>
      <c r="L12" s="79"/>
      <c r="M12" s="34"/>
      <c r="N12" s="97" t="s">
        <v>27</v>
      </c>
      <c r="O12" s="98" t="s">
        <v>27</v>
      </c>
      <c r="P12" s="92"/>
      <c r="Q12" s="93"/>
      <c r="R12" s="93"/>
      <c r="S12" s="92"/>
      <c r="T12" s="92"/>
      <c r="U12" s="69"/>
      <c r="V12" s="69"/>
      <c r="W12" s="93"/>
      <c r="X12" s="93"/>
      <c r="Y12" s="94"/>
      <c r="Z12" s="93"/>
      <c r="AA12" s="93"/>
      <c r="AB12" s="93"/>
      <c r="AC12" s="94"/>
      <c r="AD12" s="93"/>
      <c r="AE12" s="94"/>
      <c r="AF12" s="93"/>
      <c r="AG12" s="93"/>
      <c r="AH12" s="94"/>
      <c r="AI12" s="94"/>
      <c r="AJ12" s="94"/>
      <c r="AK12" s="94"/>
      <c r="AL12" s="94"/>
      <c r="AM12" s="94"/>
      <c r="AN12" s="95"/>
      <c r="AO12" s="95"/>
      <c r="AP12" s="69"/>
      <c r="AQ12" s="69"/>
      <c r="AR12" s="69"/>
      <c r="AS12" s="69"/>
      <c r="AT12" s="69"/>
      <c r="AU12" s="95"/>
      <c r="AV12" s="69"/>
      <c r="AW12" s="69"/>
      <c r="AX12" s="95"/>
      <c r="AY12" s="93"/>
      <c r="AZ12" s="94"/>
      <c r="BA12" s="94"/>
      <c r="BB12" s="94"/>
      <c r="BC12" s="94"/>
      <c r="BD12" s="94"/>
      <c r="BE12" s="94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429"/>
      <c r="HV12" s="376"/>
      <c r="HW12" s="376"/>
      <c r="HX12" s="376"/>
      <c r="HY12" s="376"/>
      <c r="HZ12" s="409"/>
      <c r="IA12" s="392"/>
      <c r="IB12" s="392"/>
      <c r="IC12" s="392"/>
      <c r="ID12" s="392"/>
      <c r="IE12" s="392"/>
      <c r="IF12" s="392"/>
      <c r="IG12" s="436"/>
      <c r="IH12" s="436"/>
      <c r="II12" s="436"/>
      <c r="IJ12" s="436"/>
      <c r="IK12" s="436"/>
      <c r="IL12" s="436"/>
      <c r="IM12" s="436"/>
      <c r="IN12" s="436"/>
      <c r="IO12" s="436"/>
      <c r="IP12" s="436"/>
      <c r="IQ12" s="436"/>
      <c r="IR12" s="436"/>
      <c r="IS12" s="436"/>
      <c r="IT12" s="436"/>
      <c r="IU12" s="436"/>
      <c r="IV12" s="436"/>
      <c r="IW12" s="436"/>
      <c r="IX12" s="436"/>
      <c r="IY12" s="436"/>
      <c r="IZ12" s="436"/>
      <c r="JA12" s="436"/>
      <c r="JB12" s="436"/>
      <c r="JC12" s="436"/>
      <c r="JD12" s="436"/>
      <c r="JE12" s="436"/>
      <c r="JF12" s="436"/>
      <c r="JG12" s="436"/>
      <c r="JH12" s="436"/>
      <c r="JI12" s="436"/>
      <c r="JJ12" s="436"/>
      <c r="JK12" s="410"/>
      <c r="JL12" s="436"/>
      <c r="JM12" s="9"/>
      <c r="JN12" s="9"/>
      <c r="JO12" s="9"/>
      <c r="JP12" s="9"/>
      <c r="JQ12" s="9"/>
      <c r="JR12" s="9"/>
      <c r="JS12" s="9"/>
      <c r="JT12" s="9"/>
      <c r="JU12" s="9"/>
    </row>
    <row r="13" spans="1:281" s="271" customFormat="1" x14ac:dyDescent="0.25">
      <c r="A13" s="258" t="s">
        <v>28</v>
      </c>
      <c r="B13" s="259"/>
      <c r="C13" s="259"/>
      <c r="D13" s="259"/>
      <c r="E13" s="260">
        <v>52</v>
      </c>
      <c r="F13" s="260">
        <v>85</v>
      </c>
      <c r="G13" s="260">
        <v>173</v>
      </c>
      <c r="H13" s="260">
        <v>221</v>
      </c>
      <c r="I13" s="260">
        <v>190</v>
      </c>
      <c r="J13" s="260">
        <v>182</v>
      </c>
      <c r="K13" s="260">
        <v>468</v>
      </c>
      <c r="L13" s="260">
        <v>157</v>
      </c>
      <c r="M13" s="260">
        <v>341</v>
      </c>
      <c r="N13" s="261">
        <v>189</v>
      </c>
      <c r="O13" s="262">
        <v>27</v>
      </c>
      <c r="P13" s="261">
        <v>21</v>
      </c>
      <c r="Q13" s="263">
        <v>30</v>
      </c>
      <c r="R13" s="262">
        <v>175.06299999999999</v>
      </c>
      <c r="S13" s="264" t="s">
        <v>29</v>
      </c>
      <c r="T13" s="261">
        <v>3</v>
      </c>
      <c r="U13" s="265" t="s">
        <v>66</v>
      </c>
      <c r="V13" s="266">
        <v>16</v>
      </c>
      <c r="W13" s="265" t="s">
        <v>80</v>
      </c>
      <c r="X13" s="267">
        <v>29</v>
      </c>
      <c r="Y13" s="110">
        <v>18</v>
      </c>
      <c r="Z13" s="262">
        <v>43</v>
      </c>
      <c r="AA13" s="262">
        <v>17</v>
      </c>
      <c r="AB13" s="265" t="s">
        <v>80</v>
      </c>
      <c r="AC13" s="268">
        <f>16+17</f>
        <v>33</v>
      </c>
      <c r="AD13" s="262">
        <v>16.062999999999999</v>
      </c>
      <c r="AE13" s="110">
        <f>SUM(S13:AD13)</f>
        <v>175.06299999999999</v>
      </c>
      <c r="AF13" s="263" t="s">
        <v>80</v>
      </c>
      <c r="AG13" s="263">
        <v>496</v>
      </c>
      <c r="AH13" s="110">
        <v>290</v>
      </c>
      <c r="AI13" s="110">
        <v>613</v>
      </c>
      <c r="AJ13" s="110">
        <v>375</v>
      </c>
      <c r="AK13" s="110">
        <v>1575</v>
      </c>
      <c r="AL13" s="263" t="s">
        <v>29</v>
      </c>
      <c r="AM13" s="191">
        <v>0</v>
      </c>
      <c r="AN13" s="263" t="s">
        <v>29</v>
      </c>
      <c r="AO13" s="263" t="s">
        <v>29</v>
      </c>
      <c r="AP13" s="263" t="s">
        <v>29</v>
      </c>
      <c r="AQ13" s="263" t="s">
        <v>29</v>
      </c>
      <c r="AR13" s="263" t="s">
        <v>29</v>
      </c>
      <c r="AS13" s="263" t="s">
        <v>29</v>
      </c>
      <c r="AT13" s="263" t="s">
        <v>29</v>
      </c>
      <c r="AU13" s="263" t="s">
        <v>29</v>
      </c>
      <c r="AV13" s="263" t="s">
        <v>29</v>
      </c>
      <c r="AW13" s="263" t="s">
        <v>29</v>
      </c>
      <c r="AX13" s="263" t="s">
        <v>29</v>
      </c>
      <c r="AY13" s="263" t="s">
        <v>29</v>
      </c>
      <c r="AZ13" s="263" t="s">
        <v>29</v>
      </c>
      <c r="BA13" s="191">
        <v>0</v>
      </c>
      <c r="BB13" s="191">
        <v>0</v>
      </c>
      <c r="BC13" s="191">
        <v>0</v>
      </c>
      <c r="BD13" s="263">
        <v>29</v>
      </c>
      <c r="BE13" s="263">
        <v>129.69999999999999</v>
      </c>
      <c r="BF13" s="191">
        <v>367.67</v>
      </c>
      <c r="BG13" s="191">
        <v>50.64</v>
      </c>
      <c r="BH13" s="191">
        <v>19.5</v>
      </c>
      <c r="BI13" s="191">
        <v>69.180000000000007</v>
      </c>
      <c r="BJ13" s="191">
        <v>51.198</v>
      </c>
      <c r="BK13" s="191">
        <v>94.77000000000001</v>
      </c>
      <c r="BL13" s="191">
        <v>203.274</v>
      </c>
      <c r="BM13" s="191">
        <v>231.56</v>
      </c>
      <c r="BN13" s="191">
        <v>180.714</v>
      </c>
      <c r="BO13" s="191">
        <v>647.3649999999999</v>
      </c>
      <c r="BP13" s="191">
        <v>16.096</v>
      </c>
      <c r="BQ13" s="191">
        <v>5.1929999999999996</v>
      </c>
      <c r="BR13" s="191">
        <v>5.0999999999999996</v>
      </c>
      <c r="BS13" s="191">
        <v>0</v>
      </c>
      <c r="BT13" s="191">
        <v>1.4999999999999999E-2</v>
      </c>
      <c r="BU13" s="191">
        <v>9.9499999999999993</v>
      </c>
      <c r="BV13" s="191">
        <v>42.15</v>
      </c>
      <c r="BW13" s="191">
        <v>0</v>
      </c>
      <c r="BX13" s="191">
        <v>2.35</v>
      </c>
      <c r="BY13" s="191">
        <v>81.349999999999994</v>
      </c>
      <c r="BZ13" s="191">
        <v>0</v>
      </c>
      <c r="CA13" s="191">
        <v>180.714</v>
      </c>
      <c r="CB13" s="191" t="s">
        <v>29</v>
      </c>
      <c r="CC13" s="191" t="s">
        <v>29</v>
      </c>
      <c r="CD13" s="191" t="s">
        <v>29</v>
      </c>
      <c r="CE13" s="191" t="s">
        <v>29</v>
      </c>
      <c r="CF13" s="191" t="s">
        <v>29</v>
      </c>
      <c r="CG13" s="191" t="s">
        <v>29</v>
      </c>
      <c r="CH13" s="191" t="s">
        <v>29</v>
      </c>
      <c r="CI13" s="191" t="s">
        <v>29</v>
      </c>
      <c r="CJ13" s="191" t="s">
        <v>29</v>
      </c>
      <c r="CK13" s="191" t="s">
        <v>29</v>
      </c>
      <c r="CL13" s="191" t="s">
        <v>29</v>
      </c>
      <c r="CM13" s="191" t="s">
        <v>29</v>
      </c>
      <c r="CN13" s="191" t="s">
        <v>29</v>
      </c>
      <c r="CO13" s="191" t="s">
        <v>29</v>
      </c>
      <c r="CP13" s="191" t="s">
        <v>29</v>
      </c>
      <c r="CQ13" s="191" t="s">
        <v>29</v>
      </c>
      <c r="CR13" s="191" t="s">
        <v>29</v>
      </c>
      <c r="CS13" s="191" t="s">
        <v>29</v>
      </c>
      <c r="CT13" s="191" t="s">
        <v>29</v>
      </c>
      <c r="CU13" s="191" t="s">
        <v>29</v>
      </c>
      <c r="CV13" s="191" t="s">
        <v>29</v>
      </c>
      <c r="CW13" s="191" t="s">
        <v>29</v>
      </c>
      <c r="CX13" s="191" t="s">
        <v>29</v>
      </c>
      <c r="CY13" s="191" t="s">
        <v>29</v>
      </c>
      <c r="CZ13" s="191" t="s">
        <v>29</v>
      </c>
      <c r="DA13" s="191" t="s">
        <v>29</v>
      </c>
      <c r="DB13" s="191"/>
      <c r="DC13" s="191" t="s">
        <v>29</v>
      </c>
      <c r="DD13" s="191" t="s">
        <v>29</v>
      </c>
      <c r="DE13" s="191" t="s">
        <v>29</v>
      </c>
      <c r="DF13" s="191" t="s">
        <v>29</v>
      </c>
      <c r="DG13" s="191" t="s">
        <v>29</v>
      </c>
      <c r="DH13" s="191" t="s">
        <v>29</v>
      </c>
      <c r="DI13" s="191" t="s">
        <v>29</v>
      </c>
      <c r="DJ13" s="191" t="s">
        <v>29</v>
      </c>
      <c r="DK13" s="191">
        <v>29</v>
      </c>
      <c r="DL13" s="191" t="s">
        <v>29</v>
      </c>
      <c r="DM13" s="191" t="s">
        <v>29</v>
      </c>
      <c r="DN13" s="191" t="s">
        <v>29</v>
      </c>
      <c r="DO13" s="191">
        <f>SUM(DC13:DN13)</f>
        <v>29</v>
      </c>
      <c r="DP13" s="191" t="s">
        <v>29</v>
      </c>
      <c r="DQ13" s="191">
        <v>129.69999999999999</v>
      </c>
      <c r="DR13" s="191">
        <v>0</v>
      </c>
      <c r="DS13" s="191">
        <v>0</v>
      </c>
      <c r="DT13" s="191" t="s">
        <v>29</v>
      </c>
      <c r="DU13" s="191" t="s">
        <v>29</v>
      </c>
      <c r="DV13" s="191" t="s">
        <v>29</v>
      </c>
      <c r="DW13" s="191" t="s">
        <v>29</v>
      </c>
      <c r="DX13" s="191" t="s">
        <v>29</v>
      </c>
      <c r="DY13" s="191">
        <v>0</v>
      </c>
      <c r="DZ13" s="191"/>
      <c r="EA13" s="191" t="s">
        <v>29</v>
      </c>
      <c r="EB13" s="191">
        <f t="shared" ref="EB13:EB19" si="17">SUM(DP13:EA13)</f>
        <v>129.69999999999999</v>
      </c>
      <c r="EC13" s="191">
        <v>0</v>
      </c>
      <c r="ED13" s="191">
        <v>0</v>
      </c>
      <c r="EE13" s="191">
        <v>0</v>
      </c>
      <c r="EF13" s="191">
        <v>230.6</v>
      </c>
      <c r="EG13" s="191">
        <v>112.87</v>
      </c>
      <c r="EH13" s="191">
        <v>3.2</v>
      </c>
      <c r="EI13" s="191" t="s">
        <v>29</v>
      </c>
      <c r="EJ13" s="191" t="s">
        <v>29</v>
      </c>
      <c r="EK13" s="191">
        <v>0</v>
      </c>
      <c r="EL13" s="191">
        <v>0</v>
      </c>
      <c r="EM13" s="191">
        <v>21</v>
      </c>
      <c r="EN13" s="191">
        <v>0</v>
      </c>
      <c r="EO13" s="191">
        <f>SUM(EC13:EN13)</f>
        <v>367.67</v>
      </c>
      <c r="EP13" s="191">
        <v>0</v>
      </c>
      <c r="EQ13" s="191">
        <v>0</v>
      </c>
      <c r="ER13" s="191">
        <v>0</v>
      </c>
      <c r="ES13" s="191">
        <v>25.96</v>
      </c>
      <c r="ET13" s="191">
        <v>0</v>
      </c>
      <c r="EU13" s="191">
        <v>0</v>
      </c>
      <c r="EV13" s="191">
        <v>0.57999999999999996</v>
      </c>
      <c r="EW13" s="191">
        <v>0</v>
      </c>
      <c r="EX13" s="191">
        <v>0</v>
      </c>
      <c r="EY13" s="191">
        <v>23.4</v>
      </c>
      <c r="EZ13" s="191">
        <v>0.7</v>
      </c>
      <c r="FA13" s="191">
        <v>0</v>
      </c>
      <c r="FB13" s="191">
        <f>SUM(EP13:FA13)</f>
        <v>50.64</v>
      </c>
      <c r="FC13" s="191">
        <v>0</v>
      </c>
      <c r="FD13" s="191">
        <v>1.95</v>
      </c>
      <c r="FE13" s="191">
        <v>0</v>
      </c>
      <c r="FF13" s="191">
        <v>0</v>
      </c>
      <c r="FG13" s="191">
        <v>0</v>
      </c>
      <c r="FH13" s="191">
        <v>17.55</v>
      </c>
      <c r="FI13" s="191">
        <v>0</v>
      </c>
      <c r="FJ13" s="191">
        <v>0</v>
      </c>
      <c r="FK13" s="191">
        <v>0</v>
      </c>
      <c r="FL13" s="191">
        <v>0</v>
      </c>
      <c r="FM13" s="191">
        <v>0</v>
      </c>
      <c r="FN13" s="191">
        <v>0</v>
      </c>
      <c r="FO13" s="191">
        <f t="shared" ref="FO13:FO19" si="18">SUM(FC13:FN13)</f>
        <v>19.5</v>
      </c>
      <c r="FP13" s="191">
        <v>0</v>
      </c>
      <c r="FQ13" s="191">
        <v>0</v>
      </c>
      <c r="FR13" s="191">
        <v>0</v>
      </c>
      <c r="FS13" s="191">
        <v>18.149999999999999</v>
      </c>
      <c r="FT13" s="191">
        <v>0</v>
      </c>
      <c r="FU13" s="191">
        <v>0</v>
      </c>
      <c r="FV13" s="191">
        <v>22.69</v>
      </c>
      <c r="FW13" s="191">
        <v>28.34</v>
      </c>
      <c r="FX13" s="191">
        <v>0</v>
      </c>
      <c r="FY13" s="191">
        <v>0</v>
      </c>
      <c r="FZ13" s="191">
        <v>0</v>
      </c>
      <c r="GA13" s="191">
        <v>0</v>
      </c>
      <c r="GB13" s="191">
        <f t="shared" ref="GB13:GB19" si="19">SUM(FP13:GA13)</f>
        <v>69.180000000000007</v>
      </c>
      <c r="GC13" s="191">
        <v>0</v>
      </c>
      <c r="GD13" s="191">
        <v>0</v>
      </c>
      <c r="GE13" s="191">
        <v>0</v>
      </c>
      <c r="GF13" s="191">
        <v>17.399999999999999</v>
      </c>
      <c r="GG13" s="191">
        <v>1.2</v>
      </c>
      <c r="GH13" s="191">
        <v>15.15</v>
      </c>
      <c r="GI13" s="191">
        <v>1</v>
      </c>
      <c r="GJ13" s="191">
        <v>0</v>
      </c>
      <c r="GK13" s="191">
        <v>0</v>
      </c>
      <c r="GL13" s="191">
        <v>6</v>
      </c>
      <c r="GM13" s="191">
        <v>7.28</v>
      </c>
      <c r="GN13" s="191">
        <v>3.1680000000000001</v>
      </c>
      <c r="GO13" s="191">
        <f t="shared" ref="GO13:GO19" si="20">SUM(GC13:GN13)</f>
        <v>51.198</v>
      </c>
      <c r="GP13" s="191">
        <v>0</v>
      </c>
      <c r="GQ13" s="191">
        <v>7.35</v>
      </c>
      <c r="GR13" s="191">
        <v>0</v>
      </c>
      <c r="GS13" s="191">
        <v>0</v>
      </c>
      <c r="GT13" s="191">
        <v>10.25</v>
      </c>
      <c r="GU13" s="191">
        <v>0</v>
      </c>
      <c r="GV13" s="191">
        <v>45.7</v>
      </c>
      <c r="GW13" s="191">
        <v>16.07</v>
      </c>
      <c r="GX13" s="191" t="s">
        <v>29</v>
      </c>
      <c r="GY13" s="191">
        <v>15.4</v>
      </c>
      <c r="GZ13" s="191">
        <v>0</v>
      </c>
      <c r="HA13" s="191">
        <v>0</v>
      </c>
      <c r="HB13" s="191">
        <v>42.29</v>
      </c>
      <c r="HC13" s="191"/>
      <c r="HD13" s="191">
        <v>10</v>
      </c>
      <c r="HE13" s="191">
        <v>17.899999999999999</v>
      </c>
      <c r="HF13" s="191">
        <f>0.17+3.52</f>
        <v>3.69</v>
      </c>
      <c r="HG13" s="191">
        <f>20+10</f>
        <v>30</v>
      </c>
      <c r="HH13" s="191">
        <v>0</v>
      </c>
      <c r="HI13" s="191">
        <v>0</v>
      </c>
      <c r="HJ13" s="191">
        <v>0</v>
      </c>
      <c r="HK13" s="191">
        <f>5.611</f>
        <v>5.6109999999999998</v>
      </c>
      <c r="HL13" s="191">
        <v>1.4279999999999999</v>
      </c>
      <c r="HM13" s="191">
        <v>92.355000000000004</v>
      </c>
      <c r="HN13" s="191">
        <f t="shared" ref="HN13:HN19" si="21">SUM(HB13:HM13)</f>
        <v>203.274</v>
      </c>
      <c r="HO13" s="191">
        <v>0.7</v>
      </c>
      <c r="HP13" s="191">
        <v>1.2</v>
      </c>
      <c r="HQ13" s="191">
        <v>3.9119999999999999</v>
      </c>
      <c r="HR13" s="191">
        <v>0</v>
      </c>
      <c r="HS13" s="191">
        <v>0</v>
      </c>
      <c r="HT13" s="191">
        <v>25.85</v>
      </c>
      <c r="HU13" s="429">
        <v>26.54</v>
      </c>
      <c r="HV13" s="191">
        <v>0</v>
      </c>
      <c r="HW13" s="191">
        <v>56.361000000000004</v>
      </c>
      <c r="HX13" s="191">
        <v>3</v>
      </c>
      <c r="HY13" s="191">
        <v>109.55</v>
      </c>
      <c r="HZ13" s="410">
        <v>4.4470000000000001</v>
      </c>
      <c r="IA13" s="191">
        <v>18.510000000000002</v>
      </c>
      <c r="IB13" s="191">
        <v>16.096</v>
      </c>
      <c r="IC13" s="191">
        <v>5.1929999999999996</v>
      </c>
      <c r="ID13" s="191">
        <v>5.0999999999999996</v>
      </c>
      <c r="IE13" s="191">
        <v>0</v>
      </c>
      <c r="IF13" s="410">
        <v>1.4999999999999999E-2</v>
      </c>
      <c r="IG13" s="410">
        <v>9.9499999999999993</v>
      </c>
      <c r="IH13" s="410">
        <v>42.15</v>
      </c>
      <c r="II13" s="191">
        <v>0</v>
      </c>
      <c r="IJ13" s="191">
        <v>2.35</v>
      </c>
      <c r="IK13" s="191">
        <v>81.349999999999994</v>
      </c>
      <c r="IL13" s="191">
        <v>0</v>
      </c>
      <c r="IM13" s="191">
        <v>0</v>
      </c>
      <c r="IN13" s="191">
        <v>0</v>
      </c>
      <c r="IO13" s="191">
        <v>7.6349999999999998</v>
      </c>
      <c r="IP13" s="191">
        <v>27.75</v>
      </c>
      <c r="IQ13" s="191">
        <v>84</v>
      </c>
      <c r="IR13" s="191">
        <v>231.80999999999997</v>
      </c>
      <c r="IS13" s="191">
        <v>145.64999999999998</v>
      </c>
      <c r="IT13" s="191">
        <v>150.02000000000001</v>
      </c>
      <c r="IU13" s="191">
        <v>0.5</v>
      </c>
      <c r="IV13" s="191">
        <v>0</v>
      </c>
      <c r="IW13" s="191">
        <v>0</v>
      </c>
      <c r="IX13" s="191">
        <v>0</v>
      </c>
      <c r="IY13" s="191">
        <v>0</v>
      </c>
      <c r="IZ13" s="191">
        <v>0</v>
      </c>
      <c r="JA13" s="191"/>
      <c r="JB13" s="191"/>
      <c r="JC13" s="191"/>
      <c r="JD13" s="191"/>
      <c r="JE13" s="191"/>
      <c r="JF13" s="191"/>
      <c r="JG13" s="191"/>
      <c r="JH13" s="191"/>
      <c r="JI13" s="191"/>
      <c r="JJ13" s="191"/>
      <c r="JK13" s="410">
        <f>+IM13+IN13</f>
        <v>0</v>
      </c>
      <c r="JL13" s="191">
        <f>+IY13+IZ13</f>
        <v>0</v>
      </c>
      <c r="JM13" s="270"/>
      <c r="JN13" s="270"/>
      <c r="JO13" s="270"/>
      <c r="JP13" s="270"/>
      <c r="JQ13" s="270"/>
      <c r="JR13" s="270"/>
      <c r="JS13" s="270"/>
      <c r="JT13" s="269"/>
      <c r="JU13" s="269"/>
    </row>
    <row r="14" spans="1:281" x14ac:dyDescent="0.25">
      <c r="A14" s="91" t="s">
        <v>30</v>
      </c>
      <c r="B14" s="34"/>
      <c r="C14" s="34"/>
      <c r="D14" s="34"/>
      <c r="E14" s="79">
        <v>5007</v>
      </c>
      <c r="F14" s="79">
        <v>6050</v>
      </c>
      <c r="G14" s="79">
        <v>4803</v>
      </c>
      <c r="H14" s="79">
        <v>7901</v>
      </c>
      <c r="I14" s="79">
        <v>7536</v>
      </c>
      <c r="J14" s="79">
        <v>4061</v>
      </c>
      <c r="K14" s="79">
        <v>8687</v>
      </c>
      <c r="L14" s="79">
        <v>6648</v>
      </c>
      <c r="M14" s="79">
        <v>8085</v>
      </c>
      <c r="N14" s="92">
        <v>2730</v>
      </c>
      <c r="O14" s="93">
        <v>7271</v>
      </c>
      <c r="P14" s="92">
        <v>11524</v>
      </c>
      <c r="Q14" s="93">
        <v>6381</v>
      </c>
      <c r="R14" s="93">
        <v>6773.05</v>
      </c>
      <c r="S14" s="92">
        <v>770</v>
      </c>
      <c r="T14" s="92">
        <v>468</v>
      </c>
      <c r="U14" s="69">
        <v>375</v>
      </c>
      <c r="V14" s="69">
        <v>839</v>
      </c>
      <c r="W14" s="93">
        <f>359+44</f>
        <v>403</v>
      </c>
      <c r="X14" s="93">
        <v>143</v>
      </c>
      <c r="Y14" s="105">
        <v>461</v>
      </c>
      <c r="Z14" s="93">
        <v>452</v>
      </c>
      <c r="AA14" s="93">
        <v>420</v>
      </c>
      <c r="AB14" s="93">
        <v>373</v>
      </c>
      <c r="AC14" s="94">
        <f>1323+35</f>
        <v>1358</v>
      </c>
      <c r="AD14" s="93">
        <v>711.05</v>
      </c>
      <c r="AE14" s="105">
        <f>SUM(S14:AD14)</f>
        <v>6773.05</v>
      </c>
      <c r="AF14" s="101">
        <v>5929.65</v>
      </c>
      <c r="AG14" s="101">
        <v>7196</v>
      </c>
      <c r="AH14" s="105">
        <v>7221</v>
      </c>
      <c r="AI14" s="105">
        <v>5731</v>
      </c>
      <c r="AJ14" s="105">
        <v>7246</v>
      </c>
      <c r="AK14" s="105">
        <v>3143</v>
      </c>
      <c r="AL14" s="69">
        <v>998.05</v>
      </c>
      <c r="AM14" s="69">
        <v>1187.5999999999999</v>
      </c>
      <c r="AN14" s="101" t="s">
        <v>29</v>
      </c>
      <c r="AO14" s="101" t="s">
        <v>29</v>
      </c>
      <c r="AP14" s="101">
        <v>29</v>
      </c>
      <c r="AQ14" s="69" t="s">
        <v>29</v>
      </c>
      <c r="AR14" s="101" t="s">
        <v>29</v>
      </c>
      <c r="AS14" s="101" t="s">
        <v>29</v>
      </c>
      <c r="AT14" s="69" t="s">
        <v>29</v>
      </c>
      <c r="AU14" s="101">
        <v>680.95</v>
      </c>
      <c r="AV14" s="101">
        <v>240.65</v>
      </c>
      <c r="AW14" s="101" t="s">
        <v>29</v>
      </c>
      <c r="AX14" s="101">
        <v>237</v>
      </c>
      <c r="AY14" s="101" t="s">
        <v>29</v>
      </c>
      <c r="AZ14" s="69">
        <f>SUM(AN14:AY14)</f>
        <v>1187.5999999999999</v>
      </c>
      <c r="BA14" s="104">
        <v>615</v>
      </c>
      <c r="BB14" s="191">
        <v>0</v>
      </c>
      <c r="BC14" s="191">
        <v>0</v>
      </c>
      <c r="BD14" s="191">
        <v>0</v>
      </c>
      <c r="BE14" s="101">
        <v>11.05</v>
      </c>
      <c r="BF14" s="191">
        <v>0</v>
      </c>
      <c r="BG14" s="191">
        <v>235.45</v>
      </c>
      <c r="BH14" s="191">
        <v>272</v>
      </c>
      <c r="BI14" s="191">
        <v>0</v>
      </c>
      <c r="BJ14" s="191">
        <v>0</v>
      </c>
      <c r="BK14" s="191">
        <v>0</v>
      </c>
      <c r="BL14" s="191">
        <v>0</v>
      </c>
      <c r="BM14" s="191">
        <v>0</v>
      </c>
      <c r="BN14" s="191">
        <v>0</v>
      </c>
      <c r="BO14" s="191">
        <v>0</v>
      </c>
      <c r="BP14" s="191">
        <v>0</v>
      </c>
      <c r="BQ14" s="191">
        <v>0</v>
      </c>
      <c r="BR14" s="191">
        <v>0</v>
      </c>
      <c r="BS14" s="191">
        <v>0</v>
      </c>
      <c r="BT14" s="191">
        <v>0</v>
      </c>
      <c r="BU14" s="191">
        <v>0</v>
      </c>
      <c r="BV14" s="191">
        <v>0</v>
      </c>
      <c r="BW14" s="191">
        <v>0</v>
      </c>
      <c r="BX14" s="191">
        <v>0</v>
      </c>
      <c r="BY14" s="191">
        <v>0</v>
      </c>
      <c r="BZ14" s="191">
        <v>0</v>
      </c>
      <c r="CA14" s="191">
        <v>0</v>
      </c>
      <c r="CB14" s="191">
        <f t="shared" ref="CB14:CB19" si="22">SUM(BP14:CA14)</f>
        <v>0</v>
      </c>
      <c r="CC14" s="191" t="s">
        <v>29</v>
      </c>
      <c r="CD14" s="191" t="s">
        <v>29</v>
      </c>
      <c r="CE14" s="191" t="s">
        <v>29</v>
      </c>
      <c r="CF14" s="191" t="s">
        <v>29</v>
      </c>
      <c r="CG14" s="191" t="s">
        <v>29</v>
      </c>
      <c r="CH14" s="191" t="s">
        <v>29</v>
      </c>
      <c r="CI14" s="191" t="s">
        <v>29</v>
      </c>
      <c r="CJ14" s="191" t="s">
        <v>29</v>
      </c>
      <c r="CK14" s="191" t="s">
        <v>29</v>
      </c>
      <c r="CL14" s="191" t="s">
        <v>29</v>
      </c>
      <c r="CM14" s="191" t="s">
        <v>29</v>
      </c>
      <c r="CN14" s="191" t="s">
        <v>29</v>
      </c>
      <c r="CO14" s="191" t="s">
        <v>29</v>
      </c>
      <c r="CP14" s="191" t="s">
        <v>29</v>
      </c>
      <c r="CQ14" s="191" t="s">
        <v>29</v>
      </c>
      <c r="CR14" s="191" t="s">
        <v>29</v>
      </c>
      <c r="CS14" s="191" t="s">
        <v>29</v>
      </c>
      <c r="CT14" s="191" t="s">
        <v>29</v>
      </c>
      <c r="CU14" s="191" t="s">
        <v>29</v>
      </c>
      <c r="CV14" s="191" t="s">
        <v>29</v>
      </c>
      <c r="CW14" s="191" t="s">
        <v>29</v>
      </c>
      <c r="CX14" s="191" t="s">
        <v>29</v>
      </c>
      <c r="CY14" s="191" t="s">
        <v>29</v>
      </c>
      <c r="CZ14" s="191" t="s">
        <v>29</v>
      </c>
      <c r="DA14" s="191" t="s">
        <v>29</v>
      </c>
      <c r="DB14" s="191"/>
      <c r="DC14" s="191" t="s">
        <v>29</v>
      </c>
      <c r="DD14" s="191" t="s">
        <v>29</v>
      </c>
      <c r="DE14" s="191" t="s">
        <v>29</v>
      </c>
      <c r="DF14" s="191" t="s">
        <v>29</v>
      </c>
      <c r="DG14" s="191" t="s">
        <v>29</v>
      </c>
      <c r="DH14" s="191" t="s">
        <v>29</v>
      </c>
      <c r="DI14" s="191" t="s">
        <v>29</v>
      </c>
      <c r="DJ14" s="191" t="s">
        <v>29</v>
      </c>
      <c r="DK14" s="191" t="s">
        <v>29</v>
      </c>
      <c r="DL14" s="191" t="s">
        <v>29</v>
      </c>
      <c r="DM14" s="191" t="s">
        <v>29</v>
      </c>
      <c r="DN14" s="191" t="s">
        <v>29</v>
      </c>
      <c r="DO14" s="191" t="s">
        <v>29</v>
      </c>
      <c r="DP14" s="191" t="s">
        <v>29</v>
      </c>
      <c r="DQ14" s="191">
        <v>0</v>
      </c>
      <c r="DR14" s="191">
        <v>0</v>
      </c>
      <c r="DS14" s="191">
        <v>11.05</v>
      </c>
      <c r="DT14" s="191" t="s">
        <v>29</v>
      </c>
      <c r="DU14" s="191" t="s">
        <v>29</v>
      </c>
      <c r="DV14" s="191" t="s">
        <v>29</v>
      </c>
      <c r="DW14" s="191" t="s">
        <v>29</v>
      </c>
      <c r="DX14" s="191" t="s">
        <v>29</v>
      </c>
      <c r="DY14" s="191">
        <v>0</v>
      </c>
      <c r="DZ14" s="191"/>
      <c r="EA14" s="191"/>
      <c r="EB14" s="191">
        <f t="shared" si="17"/>
        <v>11.05</v>
      </c>
      <c r="EC14" s="191">
        <v>0</v>
      </c>
      <c r="ED14" s="191">
        <v>0</v>
      </c>
      <c r="EE14" s="191">
        <v>0</v>
      </c>
      <c r="EF14" s="191">
        <v>0</v>
      </c>
      <c r="EG14" s="191" t="s">
        <v>29</v>
      </c>
      <c r="EH14" s="191" t="s">
        <v>29</v>
      </c>
      <c r="EI14" s="191" t="s">
        <v>29</v>
      </c>
      <c r="EJ14" s="191" t="s">
        <v>29</v>
      </c>
      <c r="EK14" s="191">
        <v>0</v>
      </c>
      <c r="EL14" s="191">
        <v>0</v>
      </c>
      <c r="EM14" s="191">
        <v>0</v>
      </c>
      <c r="EN14" s="191">
        <v>0</v>
      </c>
      <c r="EO14" s="191">
        <v>0</v>
      </c>
      <c r="EP14" s="191">
        <v>0</v>
      </c>
      <c r="EQ14" s="191">
        <v>0</v>
      </c>
      <c r="ER14" s="191">
        <v>0</v>
      </c>
      <c r="ES14" s="191">
        <v>0</v>
      </c>
      <c r="ET14" s="191">
        <v>0</v>
      </c>
      <c r="EU14" s="191">
        <v>0</v>
      </c>
      <c r="EV14" s="191">
        <v>0</v>
      </c>
      <c r="EW14" s="191">
        <v>0</v>
      </c>
      <c r="EX14" s="191">
        <v>0</v>
      </c>
      <c r="EY14" s="191">
        <v>0</v>
      </c>
      <c r="EZ14" s="191">
        <v>0</v>
      </c>
      <c r="FA14" s="191">
        <v>0</v>
      </c>
      <c r="FB14" s="191">
        <v>0</v>
      </c>
      <c r="FC14" s="191">
        <v>0</v>
      </c>
      <c r="FD14" s="191">
        <v>0</v>
      </c>
      <c r="FE14" s="191">
        <v>272</v>
      </c>
      <c r="FF14" s="191">
        <v>0</v>
      </c>
      <c r="FG14" s="191">
        <v>0</v>
      </c>
      <c r="FH14" s="191">
        <v>0</v>
      </c>
      <c r="FI14" s="191">
        <v>0</v>
      </c>
      <c r="FJ14" s="191">
        <v>0</v>
      </c>
      <c r="FK14" s="191">
        <v>0</v>
      </c>
      <c r="FL14" s="191">
        <v>0</v>
      </c>
      <c r="FM14" s="191">
        <v>0</v>
      </c>
      <c r="FN14" s="191">
        <v>0</v>
      </c>
      <c r="FO14" s="191">
        <f t="shared" si="18"/>
        <v>272</v>
      </c>
      <c r="FP14" s="191">
        <v>0</v>
      </c>
      <c r="FQ14" s="191">
        <v>0</v>
      </c>
      <c r="FR14" s="191">
        <v>0</v>
      </c>
      <c r="FS14" s="191">
        <v>0</v>
      </c>
      <c r="FT14" s="191">
        <v>0</v>
      </c>
      <c r="FU14" s="191">
        <v>0</v>
      </c>
      <c r="FV14" s="191">
        <v>0</v>
      </c>
      <c r="FW14" s="191">
        <v>0</v>
      </c>
      <c r="FX14" s="191">
        <v>0</v>
      </c>
      <c r="FY14" s="191">
        <v>0</v>
      </c>
      <c r="FZ14" s="191">
        <v>0</v>
      </c>
      <c r="GA14" s="191">
        <v>0</v>
      </c>
      <c r="GB14" s="191">
        <f t="shared" si="19"/>
        <v>0</v>
      </c>
      <c r="GC14" s="191">
        <v>0</v>
      </c>
      <c r="GD14" s="191">
        <v>0</v>
      </c>
      <c r="GE14" s="191">
        <v>0</v>
      </c>
      <c r="GF14" s="191">
        <v>0</v>
      </c>
      <c r="GG14" s="191">
        <v>0</v>
      </c>
      <c r="GH14" s="191">
        <v>0</v>
      </c>
      <c r="GI14" s="191">
        <v>0</v>
      </c>
      <c r="GJ14" s="191">
        <v>0</v>
      </c>
      <c r="GK14" s="191">
        <v>0</v>
      </c>
      <c r="GL14" s="191">
        <v>0</v>
      </c>
      <c r="GM14" s="191">
        <v>0</v>
      </c>
      <c r="GN14" s="191">
        <v>0</v>
      </c>
      <c r="GO14" s="191">
        <f t="shared" si="20"/>
        <v>0</v>
      </c>
      <c r="GP14" s="191">
        <v>0</v>
      </c>
      <c r="GQ14" s="191">
        <v>0</v>
      </c>
      <c r="GR14" s="191">
        <v>0</v>
      </c>
      <c r="GS14" s="191">
        <v>0</v>
      </c>
      <c r="GT14" s="191">
        <v>0</v>
      </c>
      <c r="GU14" s="191">
        <v>0</v>
      </c>
      <c r="GV14" s="191">
        <v>0</v>
      </c>
      <c r="GW14" s="191">
        <v>0</v>
      </c>
      <c r="GX14" s="191" t="s">
        <v>29</v>
      </c>
      <c r="GY14" s="191">
        <v>0</v>
      </c>
      <c r="GZ14" s="191">
        <v>0</v>
      </c>
      <c r="HA14" s="191">
        <v>0</v>
      </c>
      <c r="HB14" s="191">
        <v>0</v>
      </c>
      <c r="HC14" s="191">
        <v>0</v>
      </c>
      <c r="HD14" s="191">
        <v>0</v>
      </c>
      <c r="HE14" s="191">
        <v>0</v>
      </c>
      <c r="HF14" s="191">
        <v>0</v>
      </c>
      <c r="HG14" s="191">
        <v>0</v>
      </c>
      <c r="HH14" s="191">
        <v>0</v>
      </c>
      <c r="HI14" s="191">
        <v>0</v>
      </c>
      <c r="HJ14" s="191">
        <v>0</v>
      </c>
      <c r="HK14" s="191">
        <v>0</v>
      </c>
      <c r="HL14" s="191">
        <v>0</v>
      </c>
      <c r="HM14" s="191">
        <v>0</v>
      </c>
      <c r="HN14" s="191">
        <f t="shared" si="21"/>
        <v>0</v>
      </c>
      <c r="HO14" s="191">
        <v>0</v>
      </c>
      <c r="HP14" s="191">
        <v>0</v>
      </c>
      <c r="HQ14" s="191">
        <v>0</v>
      </c>
      <c r="HR14" s="191">
        <v>0</v>
      </c>
      <c r="HS14" s="191">
        <v>0</v>
      </c>
      <c r="HT14" s="191">
        <v>0</v>
      </c>
      <c r="HU14" s="410">
        <v>0</v>
      </c>
      <c r="HV14" s="191">
        <v>0</v>
      </c>
      <c r="HW14" s="191">
        <v>0</v>
      </c>
      <c r="HX14" s="191">
        <v>0</v>
      </c>
      <c r="HY14" s="191">
        <v>0</v>
      </c>
      <c r="HZ14" s="410">
        <v>0</v>
      </c>
      <c r="IA14" s="191">
        <v>0</v>
      </c>
      <c r="IB14" s="191">
        <v>0</v>
      </c>
      <c r="IC14" s="191">
        <v>0</v>
      </c>
      <c r="ID14" s="191">
        <v>0</v>
      </c>
      <c r="IE14" s="191">
        <v>0</v>
      </c>
      <c r="IF14" s="191">
        <v>0</v>
      </c>
      <c r="IG14" s="410">
        <f>SUM(IA14:IF14)</f>
        <v>0</v>
      </c>
      <c r="IH14" s="410">
        <f t="shared" ref="IH14:IH15" si="23">SUM(IA14:IG14)</f>
        <v>0</v>
      </c>
      <c r="II14" s="191">
        <v>0</v>
      </c>
      <c r="IJ14" s="191">
        <v>0</v>
      </c>
      <c r="IK14" s="191">
        <v>0</v>
      </c>
      <c r="IL14" s="191">
        <v>0</v>
      </c>
      <c r="IM14" s="191">
        <v>0</v>
      </c>
      <c r="IN14" s="191">
        <v>0</v>
      </c>
      <c r="IO14" s="191">
        <v>0</v>
      </c>
      <c r="IP14" s="191">
        <v>0</v>
      </c>
      <c r="IQ14" s="191">
        <v>0</v>
      </c>
      <c r="IR14" s="191">
        <v>0</v>
      </c>
      <c r="IS14" s="191">
        <v>0</v>
      </c>
      <c r="IT14" s="191">
        <v>0</v>
      </c>
      <c r="IU14" s="191">
        <v>0</v>
      </c>
      <c r="IV14" s="191">
        <v>0</v>
      </c>
      <c r="IW14" s="191">
        <v>0</v>
      </c>
      <c r="IX14" s="191">
        <v>0</v>
      </c>
      <c r="IY14" s="191">
        <v>0</v>
      </c>
      <c r="IZ14" s="191">
        <v>0</v>
      </c>
      <c r="JA14" s="191"/>
      <c r="JB14" s="191"/>
      <c r="JC14" s="191"/>
      <c r="JD14" s="191"/>
      <c r="JE14" s="191"/>
      <c r="JF14" s="191"/>
      <c r="JG14" s="191"/>
      <c r="JH14" s="191"/>
      <c r="JI14" s="191"/>
      <c r="JJ14" s="191"/>
      <c r="JK14" s="410">
        <f t="shared" ref="JK14:JK19" si="24">+IM14+IN14</f>
        <v>0</v>
      </c>
      <c r="JL14" s="191">
        <f t="shared" ref="JL14:JL19" si="25">+IY14+IZ14</f>
        <v>0</v>
      </c>
      <c r="JM14" s="11"/>
      <c r="JN14" s="11"/>
      <c r="JO14" s="11"/>
      <c r="JP14" s="11"/>
      <c r="JQ14" s="11"/>
      <c r="JR14" s="11"/>
      <c r="JS14" s="21"/>
      <c r="JT14" s="21"/>
      <c r="JU14" s="11"/>
    </row>
    <row r="15" spans="1:281" x14ac:dyDescent="0.25">
      <c r="A15" s="91" t="s">
        <v>31</v>
      </c>
      <c r="B15" s="34"/>
      <c r="C15" s="34"/>
      <c r="D15" s="34"/>
      <c r="E15" s="79">
        <v>81</v>
      </c>
      <c r="F15" s="106" t="s">
        <v>29</v>
      </c>
      <c r="G15" s="106" t="s">
        <v>29</v>
      </c>
      <c r="H15" s="79">
        <v>180</v>
      </c>
      <c r="I15" s="79">
        <v>767</v>
      </c>
      <c r="J15" s="79">
        <v>5</v>
      </c>
      <c r="K15" s="79">
        <v>400</v>
      </c>
      <c r="L15" s="106" t="s">
        <v>29</v>
      </c>
      <c r="M15" s="79">
        <v>2834</v>
      </c>
      <c r="N15" s="103" t="s">
        <v>80</v>
      </c>
      <c r="O15" s="93">
        <v>350</v>
      </c>
      <c r="P15" s="101" t="s">
        <v>80</v>
      </c>
      <c r="Q15" s="101" t="s">
        <v>80</v>
      </c>
      <c r="R15" s="101" t="s">
        <v>80</v>
      </c>
      <c r="S15" s="102" t="s">
        <v>29</v>
      </c>
      <c r="T15" s="102" t="s">
        <v>29</v>
      </c>
      <c r="U15" s="103" t="s">
        <v>66</v>
      </c>
      <c r="V15" s="101" t="s">
        <v>29</v>
      </c>
      <c r="W15" s="103" t="s">
        <v>80</v>
      </c>
      <c r="X15" s="107" t="s">
        <v>29</v>
      </c>
      <c r="Y15" s="108" t="s">
        <v>29</v>
      </c>
      <c r="Z15" s="109" t="s">
        <v>80</v>
      </c>
      <c r="AA15" s="109" t="s">
        <v>80</v>
      </c>
      <c r="AB15" s="103" t="s">
        <v>80</v>
      </c>
      <c r="AC15" s="103" t="s">
        <v>80</v>
      </c>
      <c r="AD15" s="101" t="s">
        <v>29</v>
      </c>
      <c r="AE15" s="108" t="s">
        <v>80</v>
      </c>
      <c r="AF15" s="101" t="s">
        <v>80</v>
      </c>
      <c r="AG15" s="101" t="s">
        <v>80</v>
      </c>
      <c r="AH15" s="101" t="s">
        <v>29</v>
      </c>
      <c r="AI15" s="101" t="s">
        <v>29</v>
      </c>
      <c r="AJ15" s="101" t="s">
        <v>29</v>
      </c>
      <c r="AK15" s="101">
        <v>840</v>
      </c>
      <c r="AL15" s="101" t="s">
        <v>29</v>
      </c>
      <c r="AM15" s="191">
        <v>0</v>
      </c>
      <c r="AN15" s="101" t="s">
        <v>29</v>
      </c>
      <c r="AO15" s="101" t="s">
        <v>29</v>
      </c>
      <c r="AP15" s="101" t="s">
        <v>29</v>
      </c>
      <c r="AQ15" s="101" t="s">
        <v>29</v>
      </c>
      <c r="AR15" s="101" t="s">
        <v>29</v>
      </c>
      <c r="AS15" s="101" t="s">
        <v>29</v>
      </c>
      <c r="AT15" s="101" t="s">
        <v>29</v>
      </c>
      <c r="AU15" s="101" t="s">
        <v>29</v>
      </c>
      <c r="AV15" s="101" t="s">
        <v>29</v>
      </c>
      <c r="AW15" s="101" t="s">
        <v>29</v>
      </c>
      <c r="AX15" s="101" t="s">
        <v>29</v>
      </c>
      <c r="AY15" s="101" t="s">
        <v>29</v>
      </c>
      <c r="AZ15" s="101" t="s">
        <v>29</v>
      </c>
      <c r="BA15" s="191">
        <v>0</v>
      </c>
      <c r="BB15" s="191">
        <v>0</v>
      </c>
      <c r="BC15" s="191">
        <v>0</v>
      </c>
      <c r="BD15" s="191">
        <v>0</v>
      </c>
      <c r="BE15" s="191">
        <v>0</v>
      </c>
      <c r="BF15" s="191">
        <v>0</v>
      </c>
      <c r="BG15" s="191">
        <v>864.21100000000001</v>
      </c>
      <c r="BH15" s="191">
        <v>81.2</v>
      </c>
      <c r="BI15" s="191">
        <v>0</v>
      </c>
      <c r="BJ15" s="191">
        <v>0</v>
      </c>
      <c r="BK15" s="191">
        <v>625.24800000000005</v>
      </c>
      <c r="BL15" s="191">
        <v>28.05</v>
      </c>
      <c r="BM15" s="191">
        <v>0</v>
      </c>
      <c r="BN15" s="191">
        <v>0</v>
      </c>
      <c r="BO15" s="191">
        <v>0</v>
      </c>
      <c r="BP15" s="191">
        <v>0</v>
      </c>
      <c r="BQ15" s="191">
        <v>0</v>
      </c>
      <c r="BR15" s="191">
        <v>0</v>
      </c>
      <c r="BS15" s="191">
        <v>0</v>
      </c>
      <c r="BT15" s="191">
        <v>0</v>
      </c>
      <c r="BU15" s="191">
        <v>0</v>
      </c>
      <c r="BV15" s="191">
        <v>0</v>
      </c>
      <c r="BW15" s="191">
        <v>0</v>
      </c>
      <c r="BX15" s="191">
        <v>0</v>
      </c>
      <c r="BY15" s="191">
        <v>0</v>
      </c>
      <c r="BZ15" s="191">
        <v>0</v>
      </c>
      <c r="CA15" s="191">
        <v>0</v>
      </c>
      <c r="CB15" s="191" t="s">
        <v>29</v>
      </c>
      <c r="CC15" s="191" t="s">
        <v>29</v>
      </c>
      <c r="CD15" s="191" t="s">
        <v>29</v>
      </c>
      <c r="CE15" s="191" t="s">
        <v>29</v>
      </c>
      <c r="CF15" s="191" t="s">
        <v>29</v>
      </c>
      <c r="CG15" s="191" t="s">
        <v>29</v>
      </c>
      <c r="CH15" s="191" t="s">
        <v>29</v>
      </c>
      <c r="CI15" s="191" t="s">
        <v>29</v>
      </c>
      <c r="CJ15" s="191" t="s">
        <v>29</v>
      </c>
      <c r="CK15" s="191" t="s">
        <v>29</v>
      </c>
      <c r="CL15" s="191" t="s">
        <v>29</v>
      </c>
      <c r="CM15" s="191" t="s">
        <v>29</v>
      </c>
      <c r="CN15" s="191" t="s">
        <v>29</v>
      </c>
      <c r="CO15" s="191" t="s">
        <v>29</v>
      </c>
      <c r="CP15" s="191" t="s">
        <v>29</v>
      </c>
      <c r="CQ15" s="191" t="s">
        <v>29</v>
      </c>
      <c r="CR15" s="191" t="s">
        <v>29</v>
      </c>
      <c r="CS15" s="191" t="s">
        <v>29</v>
      </c>
      <c r="CT15" s="191" t="s">
        <v>29</v>
      </c>
      <c r="CU15" s="191" t="s">
        <v>29</v>
      </c>
      <c r="CV15" s="191" t="s">
        <v>29</v>
      </c>
      <c r="CW15" s="191" t="s">
        <v>29</v>
      </c>
      <c r="CX15" s="191" t="s">
        <v>29</v>
      </c>
      <c r="CY15" s="191" t="s">
        <v>29</v>
      </c>
      <c r="CZ15" s="191" t="s">
        <v>29</v>
      </c>
      <c r="DA15" s="191" t="s">
        <v>29</v>
      </c>
      <c r="DB15" s="191"/>
      <c r="DC15" s="191" t="s">
        <v>29</v>
      </c>
      <c r="DD15" s="191" t="s">
        <v>29</v>
      </c>
      <c r="DE15" s="191" t="s">
        <v>29</v>
      </c>
      <c r="DF15" s="191" t="s">
        <v>29</v>
      </c>
      <c r="DG15" s="191" t="s">
        <v>29</v>
      </c>
      <c r="DH15" s="191" t="s">
        <v>29</v>
      </c>
      <c r="DI15" s="191" t="s">
        <v>29</v>
      </c>
      <c r="DJ15" s="191" t="s">
        <v>29</v>
      </c>
      <c r="DK15" s="191" t="s">
        <v>29</v>
      </c>
      <c r="DL15" s="191" t="s">
        <v>29</v>
      </c>
      <c r="DM15" s="191" t="s">
        <v>29</v>
      </c>
      <c r="DN15" s="191" t="s">
        <v>29</v>
      </c>
      <c r="DO15" s="191" t="s">
        <v>29</v>
      </c>
      <c r="DP15" s="191" t="s">
        <v>29</v>
      </c>
      <c r="DQ15" s="191">
        <v>0</v>
      </c>
      <c r="DR15" s="191">
        <v>0</v>
      </c>
      <c r="DS15" s="191">
        <v>0</v>
      </c>
      <c r="DT15" s="191" t="s">
        <v>29</v>
      </c>
      <c r="DU15" s="191" t="s">
        <v>29</v>
      </c>
      <c r="DV15" s="191" t="s">
        <v>29</v>
      </c>
      <c r="DW15" s="191" t="s">
        <v>29</v>
      </c>
      <c r="DX15" s="191" t="s">
        <v>29</v>
      </c>
      <c r="DY15" s="191">
        <v>0</v>
      </c>
      <c r="DZ15" s="191"/>
      <c r="EA15" s="191"/>
      <c r="EB15" s="191">
        <f t="shared" si="17"/>
        <v>0</v>
      </c>
      <c r="EC15" s="191">
        <v>0</v>
      </c>
      <c r="ED15" s="191">
        <v>0</v>
      </c>
      <c r="EE15" s="191">
        <v>0</v>
      </c>
      <c r="EF15" s="191">
        <v>0</v>
      </c>
      <c r="EG15" s="191" t="s">
        <v>29</v>
      </c>
      <c r="EH15" s="191" t="s">
        <v>29</v>
      </c>
      <c r="EI15" s="191" t="s">
        <v>29</v>
      </c>
      <c r="EJ15" s="191" t="s">
        <v>29</v>
      </c>
      <c r="EK15" s="191">
        <v>0</v>
      </c>
      <c r="EL15" s="191">
        <v>0</v>
      </c>
      <c r="EM15" s="191">
        <v>0</v>
      </c>
      <c r="EN15" s="191">
        <v>0</v>
      </c>
      <c r="EO15" s="191">
        <v>0</v>
      </c>
      <c r="EP15" s="191">
        <v>0</v>
      </c>
      <c r="EQ15" s="191">
        <v>0</v>
      </c>
      <c r="ER15" s="191"/>
      <c r="ES15" s="191">
        <v>375</v>
      </c>
      <c r="ET15" s="191">
        <v>327</v>
      </c>
      <c r="EU15" s="191">
        <v>0</v>
      </c>
      <c r="EV15" s="191">
        <v>162.21100000000001</v>
      </c>
      <c r="EW15" s="191">
        <v>0</v>
      </c>
      <c r="EX15" s="191">
        <v>0</v>
      </c>
      <c r="EY15" s="191">
        <v>0</v>
      </c>
      <c r="EZ15" s="191">
        <v>0</v>
      </c>
      <c r="FA15" s="191">
        <v>0</v>
      </c>
      <c r="FB15" s="191">
        <f>SUM(EP15:FA15)</f>
        <v>864.21100000000001</v>
      </c>
      <c r="FC15" s="191">
        <v>0</v>
      </c>
      <c r="FD15" s="191">
        <v>0</v>
      </c>
      <c r="FE15" s="191">
        <v>0</v>
      </c>
      <c r="FF15" s="191">
        <v>0</v>
      </c>
      <c r="FG15" s="191">
        <v>81.2</v>
      </c>
      <c r="FH15" s="191">
        <v>0</v>
      </c>
      <c r="FI15" s="191">
        <v>0</v>
      </c>
      <c r="FJ15" s="191">
        <v>0</v>
      </c>
      <c r="FK15" s="191">
        <v>0</v>
      </c>
      <c r="FL15" s="191">
        <v>0</v>
      </c>
      <c r="FM15" s="191">
        <v>0</v>
      </c>
      <c r="FN15" s="191">
        <v>0</v>
      </c>
      <c r="FO15" s="191">
        <f t="shared" si="18"/>
        <v>81.2</v>
      </c>
      <c r="FP15" s="191">
        <v>0</v>
      </c>
      <c r="FQ15" s="191">
        <v>0</v>
      </c>
      <c r="FR15" s="191">
        <v>0</v>
      </c>
      <c r="FS15" s="191">
        <v>0</v>
      </c>
      <c r="FT15" s="191">
        <v>0</v>
      </c>
      <c r="FU15" s="191">
        <v>0</v>
      </c>
      <c r="FV15" s="191">
        <v>0</v>
      </c>
      <c r="FW15" s="191">
        <v>0</v>
      </c>
      <c r="FX15" s="191">
        <v>0</v>
      </c>
      <c r="FY15" s="191">
        <v>0</v>
      </c>
      <c r="FZ15" s="191">
        <v>0</v>
      </c>
      <c r="GA15" s="191">
        <v>0</v>
      </c>
      <c r="GB15" s="191">
        <f t="shared" si="19"/>
        <v>0</v>
      </c>
      <c r="GC15" s="191">
        <v>0</v>
      </c>
      <c r="GD15" s="191">
        <v>0</v>
      </c>
      <c r="GE15" s="191">
        <v>0</v>
      </c>
      <c r="GF15" s="191">
        <v>0</v>
      </c>
      <c r="GG15" s="191">
        <v>0</v>
      </c>
      <c r="GH15" s="191">
        <v>0</v>
      </c>
      <c r="GI15" s="191">
        <v>0</v>
      </c>
      <c r="GJ15" s="191">
        <v>0</v>
      </c>
      <c r="GK15" s="191">
        <v>0</v>
      </c>
      <c r="GL15" s="191">
        <v>0</v>
      </c>
      <c r="GM15" s="191">
        <v>0</v>
      </c>
      <c r="GN15" s="191">
        <v>0</v>
      </c>
      <c r="GO15" s="191">
        <f t="shared" si="20"/>
        <v>0</v>
      </c>
      <c r="GP15" s="191">
        <v>0</v>
      </c>
      <c r="GQ15" s="191">
        <v>0</v>
      </c>
      <c r="GR15" s="191">
        <v>0</v>
      </c>
      <c r="GS15" s="191">
        <v>0</v>
      </c>
      <c r="GT15" s="191">
        <v>0</v>
      </c>
      <c r="GU15" s="191">
        <v>0</v>
      </c>
      <c r="GV15" s="191">
        <v>0</v>
      </c>
      <c r="GW15" s="191">
        <v>312.62400000000002</v>
      </c>
      <c r="GX15" s="191">
        <v>312.62400000000002</v>
      </c>
      <c r="GY15" s="191">
        <v>0</v>
      </c>
      <c r="GZ15" s="191">
        <v>0</v>
      </c>
      <c r="HA15" s="191">
        <v>0</v>
      </c>
      <c r="HB15" s="191">
        <v>0</v>
      </c>
      <c r="HC15" s="191">
        <v>0</v>
      </c>
      <c r="HD15" s="191">
        <f>GS15+GT15</f>
        <v>0</v>
      </c>
      <c r="HE15" s="191"/>
      <c r="HF15" s="191"/>
      <c r="HG15" s="191">
        <v>0</v>
      </c>
      <c r="HH15" s="191">
        <v>0</v>
      </c>
      <c r="HI15" s="191">
        <v>0</v>
      </c>
      <c r="HJ15" s="191">
        <v>0</v>
      </c>
      <c r="HK15" s="191">
        <v>0</v>
      </c>
      <c r="HL15" s="191">
        <v>0</v>
      </c>
      <c r="HM15" s="191">
        <v>28.05</v>
      </c>
      <c r="HN15" s="191">
        <f t="shared" si="21"/>
        <v>28.05</v>
      </c>
      <c r="HO15" s="191">
        <v>0</v>
      </c>
      <c r="HP15" s="191">
        <v>0</v>
      </c>
      <c r="HQ15" s="191">
        <v>0</v>
      </c>
      <c r="HR15" s="191">
        <v>0</v>
      </c>
      <c r="HS15" s="191">
        <v>0</v>
      </c>
      <c r="HT15" s="191">
        <v>0</v>
      </c>
      <c r="HU15" s="410">
        <v>0</v>
      </c>
      <c r="HV15" s="191">
        <v>0</v>
      </c>
      <c r="HW15" s="191">
        <v>0</v>
      </c>
      <c r="HX15" s="191">
        <v>0</v>
      </c>
      <c r="HY15" s="191">
        <v>0</v>
      </c>
      <c r="HZ15" s="410">
        <v>0</v>
      </c>
      <c r="IA15" s="191">
        <v>0</v>
      </c>
      <c r="IB15" s="191">
        <v>0</v>
      </c>
      <c r="IC15" s="191">
        <v>0</v>
      </c>
      <c r="ID15" s="191">
        <v>0</v>
      </c>
      <c r="IE15" s="191">
        <v>0</v>
      </c>
      <c r="IF15" s="191">
        <v>0</v>
      </c>
      <c r="IG15" s="410">
        <f>SUM(IA15:IF15)</f>
        <v>0</v>
      </c>
      <c r="IH15" s="410">
        <f t="shared" si="23"/>
        <v>0</v>
      </c>
      <c r="II15" s="191">
        <v>0</v>
      </c>
      <c r="IJ15" s="191">
        <v>0</v>
      </c>
      <c r="IK15" s="191">
        <v>0</v>
      </c>
      <c r="IL15" s="191">
        <v>0</v>
      </c>
      <c r="IM15" s="191">
        <v>0</v>
      </c>
      <c r="IN15" s="191">
        <v>0</v>
      </c>
      <c r="IO15" s="191">
        <v>0</v>
      </c>
      <c r="IP15" s="191">
        <v>0</v>
      </c>
      <c r="IQ15" s="191">
        <v>0</v>
      </c>
      <c r="IR15" s="191">
        <v>0</v>
      </c>
      <c r="IS15" s="191">
        <v>0</v>
      </c>
      <c r="IT15" s="191">
        <v>0</v>
      </c>
      <c r="IU15" s="191">
        <v>0</v>
      </c>
      <c r="IV15" s="191">
        <v>0</v>
      </c>
      <c r="IW15" s="191">
        <v>0</v>
      </c>
      <c r="IX15" s="191">
        <v>0</v>
      </c>
      <c r="IY15" s="191">
        <v>0</v>
      </c>
      <c r="IZ15" s="191">
        <v>0</v>
      </c>
      <c r="JA15" s="191"/>
      <c r="JB15" s="191"/>
      <c r="JC15" s="191"/>
      <c r="JD15" s="191"/>
      <c r="JE15" s="191"/>
      <c r="JF15" s="191"/>
      <c r="JG15" s="191"/>
      <c r="JH15" s="191"/>
      <c r="JI15" s="191"/>
      <c r="JJ15" s="191"/>
      <c r="JK15" s="410">
        <f t="shared" si="24"/>
        <v>0</v>
      </c>
      <c r="JL15" s="191">
        <f t="shared" si="25"/>
        <v>0</v>
      </c>
      <c r="JM15" s="11"/>
      <c r="JN15" s="11"/>
      <c r="JO15" s="10"/>
      <c r="JP15" s="10"/>
      <c r="JQ15" s="11"/>
      <c r="JR15" s="11"/>
      <c r="JS15" s="10"/>
      <c r="JT15" s="11"/>
      <c r="JU15" s="11"/>
    </row>
    <row r="16" spans="1:281" x14ac:dyDescent="0.25">
      <c r="A16" s="91" t="s">
        <v>32</v>
      </c>
      <c r="B16" s="34"/>
      <c r="C16" s="34"/>
      <c r="D16" s="34"/>
      <c r="E16" s="79">
        <v>11202</v>
      </c>
      <c r="F16" s="79">
        <v>13425</v>
      </c>
      <c r="G16" s="79">
        <v>10562</v>
      </c>
      <c r="H16" s="79">
        <v>13197</v>
      </c>
      <c r="I16" s="79">
        <v>19792</v>
      </c>
      <c r="J16" s="79">
        <v>10350</v>
      </c>
      <c r="K16" s="79">
        <v>14906</v>
      </c>
      <c r="L16" s="79">
        <v>25347</v>
      </c>
      <c r="M16" s="79">
        <v>21170</v>
      </c>
      <c r="N16" s="92">
        <v>4218</v>
      </c>
      <c r="O16" s="93">
        <v>4942</v>
      </c>
      <c r="P16" s="92">
        <v>9932</v>
      </c>
      <c r="Q16" s="93">
        <v>8347</v>
      </c>
      <c r="R16" s="93">
        <v>12072.924999999999</v>
      </c>
      <c r="S16" s="92">
        <v>832</v>
      </c>
      <c r="T16" s="92">
        <v>1182</v>
      </c>
      <c r="U16" s="69">
        <v>547</v>
      </c>
      <c r="V16" s="69">
        <v>276</v>
      </c>
      <c r="W16" s="93">
        <v>1296</v>
      </c>
      <c r="X16" s="93">
        <v>1193</v>
      </c>
      <c r="Y16" s="94">
        <v>643</v>
      </c>
      <c r="Z16" s="93">
        <v>1945</v>
      </c>
      <c r="AA16" s="93">
        <v>996</v>
      </c>
      <c r="AB16" s="93">
        <v>282</v>
      </c>
      <c r="AC16" s="94">
        <v>1540</v>
      </c>
      <c r="AD16" s="93">
        <v>1340.925</v>
      </c>
      <c r="AE16" s="105">
        <f>SUM(S16:AD16)</f>
        <v>12072.924999999999</v>
      </c>
      <c r="AF16" s="101">
        <v>5695.3640000000005</v>
      </c>
      <c r="AG16" s="101">
        <v>3699</v>
      </c>
      <c r="AH16" s="105">
        <v>2385</v>
      </c>
      <c r="AI16" s="105">
        <v>3934</v>
      </c>
      <c r="AJ16" s="105">
        <v>1623</v>
      </c>
      <c r="AK16" s="105">
        <v>4192</v>
      </c>
      <c r="AL16" s="69">
        <v>2231.5</v>
      </c>
      <c r="AM16" s="69">
        <v>2979.5749999999998</v>
      </c>
      <c r="AN16" s="101">
        <f>103.3+449.9</f>
        <v>553.19999999999993</v>
      </c>
      <c r="AO16" s="101">
        <f>109.05+870</f>
        <v>979.05</v>
      </c>
      <c r="AP16" s="69">
        <f>34.65+318.55</f>
        <v>353.2</v>
      </c>
      <c r="AQ16" s="101" t="s">
        <v>29</v>
      </c>
      <c r="AR16" s="101">
        <v>322.07499999999999</v>
      </c>
      <c r="AS16" s="101">
        <v>74.05</v>
      </c>
      <c r="AT16" s="101">
        <v>114</v>
      </c>
      <c r="AU16" s="101">
        <v>99.05</v>
      </c>
      <c r="AV16" s="101">
        <v>223.1</v>
      </c>
      <c r="AW16" s="101">
        <v>225</v>
      </c>
      <c r="AX16" s="69">
        <v>112.55</v>
      </c>
      <c r="AY16" s="101">
        <v>374.2</v>
      </c>
      <c r="AZ16" s="69">
        <f>SUM(AN16:AY16)</f>
        <v>3429.4750000000004</v>
      </c>
      <c r="BA16" s="69">
        <v>6233.35</v>
      </c>
      <c r="BB16" s="69">
        <v>6665.8329999999996</v>
      </c>
      <c r="BC16" s="69">
        <v>3824.1870000000004</v>
      </c>
      <c r="BD16" s="69">
        <v>874.96199999999999</v>
      </c>
      <c r="BE16" s="69">
        <v>131.89600000000002</v>
      </c>
      <c r="BF16" s="191">
        <v>7.9379999999999988</v>
      </c>
      <c r="BG16" s="191">
        <v>136.00900000000001</v>
      </c>
      <c r="BH16" s="191">
        <v>83.965000000000003</v>
      </c>
      <c r="BI16" s="191">
        <v>150.6</v>
      </c>
      <c r="BJ16" s="191">
        <v>49.1</v>
      </c>
      <c r="BK16" s="191">
        <v>852.49599999999998</v>
      </c>
      <c r="BL16" s="191">
        <v>14.085000000000001</v>
      </c>
      <c r="BM16" s="191">
        <v>6448.8249999999998</v>
      </c>
      <c r="BN16" s="191">
        <v>7035.25</v>
      </c>
      <c r="BO16" s="191">
        <v>1083.5740000000001</v>
      </c>
      <c r="BP16" s="191">
        <v>0</v>
      </c>
      <c r="BQ16" s="191">
        <v>800</v>
      </c>
      <c r="BR16" s="191">
        <v>920</v>
      </c>
      <c r="BS16" s="191">
        <v>980</v>
      </c>
      <c r="BT16" s="191">
        <v>360</v>
      </c>
      <c r="BU16" s="191">
        <v>120</v>
      </c>
      <c r="BV16" s="191">
        <v>520</v>
      </c>
      <c r="BW16" s="191">
        <v>960</v>
      </c>
      <c r="BX16" s="191">
        <v>1160</v>
      </c>
      <c r="BY16" s="191">
        <v>1215.25</v>
      </c>
      <c r="BZ16" s="191">
        <v>0</v>
      </c>
      <c r="CA16" s="191">
        <v>7035.25</v>
      </c>
      <c r="CB16" s="191">
        <f t="shared" si="22"/>
        <v>14070.5</v>
      </c>
      <c r="CC16" s="191">
        <v>582.20000000000005</v>
      </c>
      <c r="CD16" s="191">
        <v>600.4</v>
      </c>
      <c r="CE16" s="191">
        <v>1050.2</v>
      </c>
      <c r="CF16" s="191">
        <v>467.85</v>
      </c>
      <c r="CG16" s="191">
        <v>851.45</v>
      </c>
      <c r="CH16" s="191">
        <v>541.29999999999995</v>
      </c>
      <c r="CI16" s="191">
        <v>624.9</v>
      </c>
      <c r="CJ16" s="191">
        <v>192.07499999999999</v>
      </c>
      <c r="CK16" s="191">
        <v>308.95</v>
      </c>
      <c r="CL16" s="191">
        <v>283.89999999999998</v>
      </c>
      <c r="CM16" s="191">
        <v>618.1</v>
      </c>
      <c r="CN16" s="191">
        <v>544.50800000000004</v>
      </c>
      <c r="CO16" s="191">
        <f>SUM(CC16:CN16)</f>
        <v>6665.8329999999996</v>
      </c>
      <c r="CP16" s="191">
        <v>414.61</v>
      </c>
      <c r="CQ16" s="191">
        <v>940.1</v>
      </c>
      <c r="CR16" s="191">
        <v>543.25</v>
      </c>
      <c r="CS16" s="191">
        <v>589.41399999999999</v>
      </c>
      <c r="CT16" s="191">
        <v>408.08499999999998</v>
      </c>
      <c r="CU16" s="191">
        <v>220.11</v>
      </c>
      <c r="CV16" s="191">
        <v>240.898</v>
      </c>
      <c r="CW16" s="191">
        <v>160.80000000000001</v>
      </c>
      <c r="CX16" s="191">
        <v>214.95</v>
      </c>
      <c r="CY16" s="191">
        <v>12.25</v>
      </c>
      <c r="CZ16" s="191">
        <v>1.67</v>
      </c>
      <c r="DA16" s="191">
        <v>78.05</v>
      </c>
      <c r="DB16" s="191">
        <f>SUM(CP16:DA16)</f>
        <v>3824.1870000000004</v>
      </c>
      <c r="DC16" s="191">
        <v>95.85</v>
      </c>
      <c r="DD16" s="191" t="s">
        <v>29</v>
      </c>
      <c r="DE16" s="191">
        <v>89.3</v>
      </c>
      <c r="DF16" s="191" t="s">
        <v>29</v>
      </c>
      <c r="DG16" s="191">
        <v>34.200000000000003</v>
      </c>
      <c r="DH16" s="191">
        <v>86.775000000000006</v>
      </c>
      <c r="DI16" s="191">
        <v>134.30000000000001</v>
      </c>
      <c r="DJ16" s="191">
        <v>59.204999999999998</v>
      </c>
      <c r="DK16" s="191">
        <v>35</v>
      </c>
      <c r="DL16" s="191">
        <v>101.65</v>
      </c>
      <c r="DM16" s="191">
        <v>148.58199999999999</v>
      </c>
      <c r="DN16" s="191">
        <v>90.1</v>
      </c>
      <c r="DO16" s="191">
        <f>SUM(DC16:DN16)</f>
        <v>874.96199999999999</v>
      </c>
      <c r="DP16" s="191">
        <v>22.846</v>
      </c>
      <c r="DQ16" s="191"/>
      <c r="DR16" s="191">
        <v>0.2</v>
      </c>
      <c r="DS16" s="191">
        <v>0</v>
      </c>
      <c r="DT16" s="191">
        <v>0.125</v>
      </c>
      <c r="DU16" s="191">
        <v>0.25</v>
      </c>
      <c r="DV16" s="191" t="s">
        <v>29</v>
      </c>
      <c r="DW16" s="191">
        <v>3.5750000000000002</v>
      </c>
      <c r="DX16" s="191" t="s">
        <v>29</v>
      </c>
      <c r="DY16" s="191">
        <v>39.85</v>
      </c>
      <c r="DZ16" s="191">
        <v>65.05</v>
      </c>
      <c r="EA16" s="191"/>
      <c r="EB16" s="191">
        <f t="shared" si="17"/>
        <v>131.89600000000002</v>
      </c>
      <c r="EC16" s="191">
        <v>0.40799999999999997</v>
      </c>
      <c r="ED16" s="191">
        <v>0</v>
      </c>
      <c r="EE16" s="191">
        <v>0</v>
      </c>
      <c r="EF16" s="191">
        <v>2</v>
      </c>
      <c r="EG16" s="191">
        <v>0.55000000000000004</v>
      </c>
      <c r="EH16" s="191">
        <v>1</v>
      </c>
      <c r="EI16" s="191">
        <v>2</v>
      </c>
      <c r="EJ16" s="191">
        <v>0.1</v>
      </c>
      <c r="EK16" s="191">
        <v>0.38</v>
      </c>
      <c r="EL16" s="191">
        <v>0.55000000000000004</v>
      </c>
      <c r="EM16" s="191">
        <v>0</v>
      </c>
      <c r="EN16" s="191">
        <v>0.55000000000000004</v>
      </c>
      <c r="EO16" s="191">
        <f>SUM(EC16:EN16)</f>
        <v>7.5379999999999994</v>
      </c>
      <c r="EP16" s="191">
        <v>1</v>
      </c>
      <c r="EQ16" s="191">
        <v>1</v>
      </c>
      <c r="ER16" s="191">
        <v>1.625</v>
      </c>
      <c r="ES16" s="191" t="e">
        <f>'[1]V,2 English'!$K$3556+'[1]V,2 English'!$K$3597</f>
        <v>#REF!</v>
      </c>
      <c r="ET16" s="191">
        <v>0</v>
      </c>
      <c r="EU16" s="191">
        <v>100</v>
      </c>
      <c r="EV16" s="191">
        <v>0</v>
      </c>
      <c r="EW16" s="191">
        <v>6.2</v>
      </c>
      <c r="EX16" s="191">
        <v>0</v>
      </c>
      <c r="EY16" s="191">
        <v>0</v>
      </c>
      <c r="EZ16" s="191">
        <v>3.35</v>
      </c>
      <c r="FA16" s="191">
        <v>4.75</v>
      </c>
      <c r="FB16" s="191" t="e">
        <f>SUM(EP16:FA16)</f>
        <v>#REF!</v>
      </c>
      <c r="FC16" s="191">
        <v>6.95</v>
      </c>
      <c r="FD16" s="191">
        <v>0.7</v>
      </c>
      <c r="FE16" s="191">
        <v>0.9</v>
      </c>
      <c r="FF16" s="191">
        <v>0</v>
      </c>
      <c r="FG16" s="191">
        <v>75.415000000000006</v>
      </c>
      <c r="FH16" s="191">
        <v>0</v>
      </c>
      <c r="FI16" s="191">
        <v>0</v>
      </c>
      <c r="FJ16" s="191">
        <v>0</v>
      </c>
      <c r="FK16" s="191">
        <v>0</v>
      </c>
      <c r="FL16" s="191">
        <v>0</v>
      </c>
      <c r="FM16" s="191">
        <v>0</v>
      </c>
      <c r="FN16" s="191">
        <v>0</v>
      </c>
      <c r="FO16" s="191">
        <f t="shared" si="18"/>
        <v>83.965000000000003</v>
      </c>
      <c r="FP16" s="191">
        <v>0.6</v>
      </c>
      <c r="FQ16" s="191">
        <v>0</v>
      </c>
      <c r="FR16" s="191">
        <v>0</v>
      </c>
      <c r="FS16" s="191">
        <v>0</v>
      </c>
      <c r="FT16" s="191">
        <v>0</v>
      </c>
      <c r="FU16" s="191">
        <v>0</v>
      </c>
      <c r="FV16" s="191">
        <v>150</v>
      </c>
      <c r="FW16" s="191">
        <v>0</v>
      </c>
      <c r="FX16" s="191">
        <v>0</v>
      </c>
      <c r="FY16" s="191"/>
      <c r="FZ16" s="191">
        <v>0</v>
      </c>
      <c r="GA16" s="191">
        <v>0</v>
      </c>
      <c r="GB16" s="191">
        <f t="shared" si="19"/>
        <v>150.6</v>
      </c>
      <c r="GC16" s="191">
        <v>0</v>
      </c>
      <c r="GD16" s="191">
        <v>0</v>
      </c>
      <c r="GE16" s="191">
        <v>0</v>
      </c>
      <c r="GF16" s="191">
        <v>4</v>
      </c>
      <c r="GG16" s="191">
        <v>0</v>
      </c>
      <c r="GH16" s="191">
        <v>10</v>
      </c>
      <c r="GI16" s="191">
        <v>0</v>
      </c>
      <c r="GJ16" s="191">
        <v>6.6</v>
      </c>
      <c r="GK16" s="191">
        <v>3.5</v>
      </c>
      <c r="GL16" s="191">
        <v>20</v>
      </c>
      <c r="GM16" s="191">
        <v>5</v>
      </c>
      <c r="GN16" s="191">
        <v>0</v>
      </c>
      <c r="GO16" s="191">
        <f t="shared" si="20"/>
        <v>49.1</v>
      </c>
      <c r="GP16" s="191">
        <v>0</v>
      </c>
      <c r="GQ16" s="191">
        <v>0</v>
      </c>
      <c r="GR16" s="191">
        <v>0</v>
      </c>
      <c r="GS16" s="191">
        <v>0</v>
      </c>
      <c r="GT16" s="191">
        <v>0</v>
      </c>
      <c r="GU16" s="191">
        <v>0</v>
      </c>
      <c r="GV16" s="191">
        <v>0</v>
      </c>
      <c r="GW16" s="191">
        <v>46.496000000000002</v>
      </c>
      <c r="GX16" s="191" t="s">
        <v>29</v>
      </c>
      <c r="GY16" s="191">
        <v>806</v>
      </c>
      <c r="GZ16" s="191">
        <v>0</v>
      </c>
      <c r="HA16" s="191">
        <v>0</v>
      </c>
      <c r="HB16" s="191">
        <v>0</v>
      </c>
      <c r="HC16" s="191">
        <v>0</v>
      </c>
      <c r="HD16" s="191">
        <v>8</v>
      </c>
      <c r="HE16" s="191"/>
      <c r="HF16" s="191"/>
      <c r="HG16" s="191">
        <v>0</v>
      </c>
      <c r="HH16" s="191">
        <v>0</v>
      </c>
      <c r="HI16" s="191">
        <v>0</v>
      </c>
      <c r="HJ16" s="191">
        <v>0</v>
      </c>
      <c r="HK16" s="191">
        <v>0</v>
      </c>
      <c r="HL16" s="191">
        <v>6.085</v>
      </c>
      <c r="HM16" s="191">
        <v>0</v>
      </c>
      <c r="HN16" s="191">
        <f t="shared" si="21"/>
        <v>14.085000000000001</v>
      </c>
      <c r="HO16" s="191">
        <v>0</v>
      </c>
      <c r="HP16" s="191">
        <v>0</v>
      </c>
      <c r="HQ16" s="191">
        <v>0</v>
      </c>
      <c r="HR16" s="191">
        <v>0</v>
      </c>
      <c r="HS16" s="191">
        <v>1840</v>
      </c>
      <c r="HT16" s="191">
        <v>2050</v>
      </c>
      <c r="HU16" s="429">
        <v>1478.825</v>
      </c>
      <c r="HV16" s="191">
        <v>0</v>
      </c>
      <c r="HW16" s="191">
        <v>0</v>
      </c>
      <c r="HX16" s="191">
        <v>0</v>
      </c>
      <c r="HY16" s="191">
        <v>1080</v>
      </c>
      <c r="HZ16" s="410">
        <v>0</v>
      </c>
      <c r="IA16" s="191">
        <v>0</v>
      </c>
      <c r="IB16" s="191">
        <v>0</v>
      </c>
      <c r="IC16" s="191">
        <v>800</v>
      </c>
      <c r="ID16" s="191">
        <v>920</v>
      </c>
      <c r="IE16" s="191">
        <v>980</v>
      </c>
      <c r="IF16" s="191">
        <v>360</v>
      </c>
      <c r="IG16" s="410">
        <v>120</v>
      </c>
      <c r="IH16" s="410">
        <v>520</v>
      </c>
      <c r="II16" s="410">
        <v>960</v>
      </c>
      <c r="IJ16" s="410">
        <v>1160</v>
      </c>
      <c r="IK16" s="410">
        <v>1215.25</v>
      </c>
      <c r="IL16" s="410">
        <v>0</v>
      </c>
      <c r="IM16" s="410">
        <v>56.25</v>
      </c>
      <c r="IN16" s="191">
        <v>0</v>
      </c>
      <c r="IO16" s="410">
        <v>0</v>
      </c>
      <c r="IP16" s="410">
        <v>0</v>
      </c>
      <c r="IQ16" s="410">
        <v>0</v>
      </c>
      <c r="IR16" s="410">
        <v>0</v>
      </c>
      <c r="IS16" s="410">
        <v>0</v>
      </c>
      <c r="IT16" s="410">
        <v>0</v>
      </c>
      <c r="IU16" s="410">
        <v>1027.3240000000001</v>
      </c>
      <c r="IV16" s="410">
        <v>0</v>
      </c>
      <c r="IW16" s="410">
        <v>0</v>
      </c>
      <c r="IX16" s="410">
        <v>0</v>
      </c>
      <c r="IY16" s="410">
        <v>0</v>
      </c>
      <c r="IZ16" s="410">
        <v>0</v>
      </c>
      <c r="JA16" s="410"/>
      <c r="JB16" s="410"/>
      <c r="JC16" s="410"/>
      <c r="JD16" s="410"/>
      <c r="JE16" s="410"/>
      <c r="JF16" s="410"/>
      <c r="JG16" s="410"/>
      <c r="JH16" s="410"/>
      <c r="JI16" s="410"/>
      <c r="JJ16" s="410"/>
      <c r="JK16" s="410">
        <f t="shared" si="24"/>
        <v>56.25</v>
      </c>
      <c r="JL16" s="191">
        <f t="shared" si="25"/>
        <v>0</v>
      </c>
      <c r="JM16" s="11"/>
      <c r="JN16" s="11"/>
      <c r="JO16" s="11"/>
      <c r="JP16" s="11"/>
      <c r="JQ16" s="11"/>
      <c r="JR16" s="11"/>
      <c r="JS16" s="11"/>
      <c r="JT16" s="11"/>
      <c r="JU16" s="11"/>
    </row>
    <row r="17" spans="1:281" x14ac:dyDescent="0.25">
      <c r="A17" s="91" t="s">
        <v>33</v>
      </c>
      <c r="B17" s="34"/>
      <c r="C17" s="34"/>
      <c r="D17" s="34"/>
      <c r="E17" s="79">
        <v>20948</v>
      </c>
      <c r="F17" s="79">
        <v>18304</v>
      </c>
      <c r="G17" s="79">
        <v>8171</v>
      </c>
      <c r="H17" s="79">
        <v>6660</v>
      </c>
      <c r="I17" s="79">
        <v>6282</v>
      </c>
      <c r="J17" s="79">
        <v>1064</v>
      </c>
      <c r="K17" s="79">
        <v>3574</v>
      </c>
      <c r="L17" s="79">
        <v>12332</v>
      </c>
      <c r="M17" s="79">
        <v>18193</v>
      </c>
      <c r="N17" s="92">
        <v>4608</v>
      </c>
      <c r="O17" s="93">
        <v>3586</v>
      </c>
      <c r="P17" s="92">
        <v>2733</v>
      </c>
      <c r="Q17" s="93">
        <v>4891</v>
      </c>
      <c r="R17" s="93">
        <v>10335.75</v>
      </c>
      <c r="S17" s="92">
        <v>722</v>
      </c>
      <c r="T17" s="92">
        <v>683</v>
      </c>
      <c r="U17" s="69">
        <v>360</v>
      </c>
      <c r="V17" s="69">
        <v>722</v>
      </c>
      <c r="W17" s="93">
        <v>763</v>
      </c>
      <c r="X17" s="93">
        <v>194</v>
      </c>
      <c r="Y17" s="94">
        <v>489</v>
      </c>
      <c r="Z17" s="93">
        <v>654</v>
      </c>
      <c r="AA17" s="93">
        <v>924</v>
      </c>
      <c r="AB17" s="93">
        <v>1515</v>
      </c>
      <c r="AC17" s="94">
        <v>1931</v>
      </c>
      <c r="AD17" s="93">
        <v>1378.75</v>
      </c>
      <c r="AE17" s="105">
        <f>SUM(S17:AD17)</f>
        <v>10335.75</v>
      </c>
      <c r="AF17" s="101">
        <v>15293</v>
      </c>
      <c r="AG17" s="101">
        <v>9436</v>
      </c>
      <c r="AH17" s="105">
        <v>14133</v>
      </c>
      <c r="AI17" s="105">
        <v>11418</v>
      </c>
      <c r="AJ17" s="105">
        <v>13397</v>
      </c>
      <c r="AK17" s="105">
        <v>14581</v>
      </c>
      <c r="AL17" s="69">
        <v>12868.75</v>
      </c>
      <c r="AM17" s="69">
        <v>10808.4</v>
      </c>
      <c r="AN17" s="101">
        <v>804</v>
      </c>
      <c r="AO17" s="101">
        <v>998.2</v>
      </c>
      <c r="AP17" s="101">
        <v>376</v>
      </c>
      <c r="AQ17" s="69">
        <v>192</v>
      </c>
      <c r="AR17" s="101">
        <v>927</v>
      </c>
      <c r="AS17" s="69">
        <v>229.6</v>
      </c>
      <c r="AT17" s="69">
        <v>1351.25</v>
      </c>
      <c r="AU17" s="69">
        <v>777</v>
      </c>
      <c r="AV17" s="69">
        <v>1260</v>
      </c>
      <c r="AW17" s="69">
        <v>1374.9</v>
      </c>
      <c r="AX17" s="69">
        <v>1294</v>
      </c>
      <c r="AY17" s="101">
        <v>1224.45</v>
      </c>
      <c r="AZ17" s="69">
        <f>SUM(AN17:AY17)</f>
        <v>10808.4</v>
      </c>
      <c r="BA17" s="69">
        <v>18586.05</v>
      </c>
      <c r="BB17" s="69">
        <v>15346.1</v>
      </c>
      <c r="BC17" s="69">
        <v>26524.046999999999</v>
      </c>
      <c r="BD17" s="69">
        <v>15172</v>
      </c>
      <c r="BE17" s="69">
        <v>4177.05</v>
      </c>
      <c r="BF17" s="191">
        <v>12180</v>
      </c>
      <c r="BG17" s="191">
        <v>11701.85</v>
      </c>
      <c r="BH17" s="191">
        <v>12517</v>
      </c>
      <c r="BI17" s="191">
        <v>21334.81</v>
      </c>
      <c r="BJ17" s="191">
        <v>15456.8</v>
      </c>
      <c r="BK17" s="191">
        <v>13582.25</v>
      </c>
      <c r="BL17" s="191">
        <v>23103.1</v>
      </c>
      <c r="BM17" s="191">
        <v>15481</v>
      </c>
      <c r="BN17" s="191">
        <v>5049.8</v>
      </c>
      <c r="BO17" s="191">
        <v>6005</v>
      </c>
      <c r="BP17" s="191">
        <v>679</v>
      </c>
      <c r="BQ17" s="191">
        <v>620.79999999999995</v>
      </c>
      <c r="BR17" s="191">
        <v>1500</v>
      </c>
      <c r="BS17" s="191">
        <v>0</v>
      </c>
      <c r="BT17" s="191">
        <v>0</v>
      </c>
      <c r="BU17" s="191">
        <v>0</v>
      </c>
      <c r="BV17" s="191">
        <v>0</v>
      </c>
      <c r="BW17" s="191">
        <v>1250</v>
      </c>
      <c r="BX17" s="191">
        <v>0</v>
      </c>
      <c r="BY17" s="191">
        <v>0</v>
      </c>
      <c r="BZ17" s="191">
        <v>500</v>
      </c>
      <c r="CA17" s="191">
        <v>5049.8</v>
      </c>
      <c r="CB17" s="191">
        <f t="shared" si="22"/>
        <v>9599.6</v>
      </c>
      <c r="CC17" s="191">
        <v>1500</v>
      </c>
      <c r="CD17" s="191">
        <v>365</v>
      </c>
      <c r="CE17" s="191">
        <v>135</v>
      </c>
      <c r="CF17" s="191">
        <v>899.95</v>
      </c>
      <c r="CG17" s="191">
        <v>2381.85</v>
      </c>
      <c r="CH17" s="191">
        <v>2717.95</v>
      </c>
      <c r="CI17" s="191">
        <v>2399.5</v>
      </c>
      <c r="CJ17" s="191">
        <v>121</v>
      </c>
      <c r="CK17" s="191">
        <v>1275.95</v>
      </c>
      <c r="CL17" s="191">
        <v>1300</v>
      </c>
      <c r="CM17" s="191">
        <v>1499.9</v>
      </c>
      <c r="CN17" s="191">
        <v>750</v>
      </c>
      <c r="CO17" s="191">
        <f>SUM(CC17:CN17)</f>
        <v>15346.1</v>
      </c>
      <c r="CP17" s="191">
        <v>69.5</v>
      </c>
      <c r="CQ17" s="191">
        <v>1000</v>
      </c>
      <c r="CR17" s="191">
        <v>900</v>
      </c>
      <c r="CS17" s="191">
        <v>1300</v>
      </c>
      <c r="CT17" s="191">
        <v>1650</v>
      </c>
      <c r="CU17" s="191">
        <v>2200</v>
      </c>
      <c r="CV17" s="191">
        <v>1490.047</v>
      </c>
      <c r="CW17" s="191">
        <v>4147</v>
      </c>
      <c r="CX17" s="191">
        <v>2813</v>
      </c>
      <c r="CY17" s="191">
        <v>4548.95</v>
      </c>
      <c r="CZ17" s="191">
        <v>5392.5</v>
      </c>
      <c r="DA17" s="191">
        <v>1013.05</v>
      </c>
      <c r="DB17" s="191">
        <f>SUM(CP17:DA17)</f>
        <v>26524.046999999999</v>
      </c>
      <c r="DC17" s="191">
        <v>1149.5</v>
      </c>
      <c r="DD17" s="191">
        <v>2365.5</v>
      </c>
      <c r="DE17" s="191">
        <v>1900</v>
      </c>
      <c r="DF17" s="191" t="s">
        <v>29</v>
      </c>
      <c r="DG17" s="191" t="s">
        <v>29</v>
      </c>
      <c r="DH17" s="191">
        <v>600</v>
      </c>
      <c r="DI17" s="191">
        <v>505</v>
      </c>
      <c r="DJ17" s="191">
        <v>265</v>
      </c>
      <c r="DK17" s="191">
        <v>2897</v>
      </c>
      <c r="DL17" s="191">
        <v>1500</v>
      </c>
      <c r="DM17" s="191">
        <v>1500</v>
      </c>
      <c r="DN17" s="191">
        <v>2490</v>
      </c>
      <c r="DO17" s="191">
        <f>SUM(DC17:DN17)</f>
        <v>15172</v>
      </c>
      <c r="DP17" s="191" t="s">
        <v>29</v>
      </c>
      <c r="DQ17" s="191">
        <v>0</v>
      </c>
      <c r="DR17" s="191">
        <v>206.4</v>
      </c>
      <c r="DS17" s="191" t="s">
        <v>29</v>
      </c>
      <c r="DT17" s="191">
        <v>1000</v>
      </c>
      <c r="DU17" s="191" t="s">
        <v>29</v>
      </c>
      <c r="DV17" s="191">
        <v>828.55</v>
      </c>
      <c r="DW17" s="191" t="s">
        <v>29</v>
      </c>
      <c r="DX17" s="191">
        <v>882.2</v>
      </c>
      <c r="DY17" s="191">
        <v>1000</v>
      </c>
      <c r="DZ17" s="191">
        <v>9.9</v>
      </c>
      <c r="EA17" s="191">
        <v>250</v>
      </c>
      <c r="EB17" s="191">
        <f t="shared" si="17"/>
        <v>4177.05</v>
      </c>
      <c r="EC17" s="191">
        <v>200</v>
      </c>
      <c r="ED17" s="191">
        <v>0</v>
      </c>
      <c r="EE17" s="191">
        <v>1300</v>
      </c>
      <c r="EF17" s="191">
        <v>0</v>
      </c>
      <c r="EG17" s="191">
        <v>800</v>
      </c>
      <c r="EH17" s="191">
        <v>1300</v>
      </c>
      <c r="EI17" s="191">
        <v>1500</v>
      </c>
      <c r="EJ17" s="191">
        <v>1000</v>
      </c>
      <c r="EK17" s="191">
        <v>1250</v>
      </c>
      <c r="EL17" s="191">
        <v>1603</v>
      </c>
      <c r="EM17" s="191">
        <v>997</v>
      </c>
      <c r="EN17" s="191">
        <v>2230</v>
      </c>
      <c r="EO17" s="191">
        <f>SUM(EC17:EN17)</f>
        <v>12180</v>
      </c>
      <c r="EP17" s="191">
        <v>3578.9</v>
      </c>
      <c r="EQ17" s="191">
        <v>700</v>
      </c>
      <c r="ER17" s="191">
        <v>600</v>
      </c>
      <c r="ES17" s="191">
        <v>1300</v>
      </c>
      <c r="ET17" s="191">
        <v>1000</v>
      </c>
      <c r="EU17" s="191">
        <v>1000</v>
      </c>
      <c r="EV17" s="191">
        <v>1000</v>
      </c>
      <c r="EW17" s="191">
        <v>0</v>
      </c>
      <c r="EX17" s="191">
        <v>0</v>
      </c>
      <c r="EY17" s="191">
        <v>0</v>
      </c>
      <c r="EZ17" s="191">
        <v>1789.95</v>
      </c>
      <c r="FA17" s="191">
        <v>733</v>
      </c>
      <c r="FB17" s="191">
        <f>SUM(EP17:FA17)</f>
        <v>11701.85</v>
      </c>
      <c r="FC17" s="191">
        <v>2000</v>
      </c>
      <c r="FD17" s="191">
        <v>267</v>
      </c>
      <c r="FE17" s="191">
        <v>735</v>
      </c>
      <c r="FF17" s="191">
        <v>1015</v>
      </c>
      <c r="FG17" s="191">
        <v>500</v>
      </c>
      <c r="FH17" s="191">
        <v>1500</v>
      </c>
      <c r="FI17" s="191">
        <v>2000</v>
      </c>
      <c r="FJ17" s="191">
        <v>1500</v>
      </c>
      <c r="FK17" s="191">
        <v>1000</v>
      </c>
      <c r="FL17" s="191">
        <v>0</v>
      </c>
      <c r="FM17" s="191">
        <v>1500</v>
      </c>
      <c r="FN17" s="191">
        <v>500</v>
      </c>
      <c r="FO17" s="191">
        <f t="shared" si="18"/>
        <v>12517</v>
      </c>
      <c r="FP17" s="191">
        <v>1500</v>
      </c>
      <c r="FQ17" s="191">
        <v>500</v>
      </c>
      <c r="FR17" s="191">
        <v>1950</v>
      </c>
      <c r="FS17" s="191">
        <v>3850</v>
      </c>
      <c r="FT17" s="191">
        <v>5199.95</v>
      </c>
      <c r="FU17" s="191">
        <v>0</v>
      </c>
      <c r="FV17" s="191">
        <v>1000</v>
      </c>
      <c r="FW17" s="191">
        <v>2334.8599999999997</v>
      </c>
      <c r="FX17" s="191">
        <v>2000</v>
      </c>
      <c r="FY17" s="191">
        <v>2000</v>
      </c>
      <c r="FZ17" s="191">
        <v>500</v>
      </c>
      <c r="GA17" s="191">
        <v>500</v>
      </c>
      <c r="GB17" s="191">
        <f t="shared" si="19"/>
        <v>21334.81</v>
      </c>
      <c r="GC17" s="191">
        <v>1600</v>
      </c>
      <c r="GD17" s="191">
        <v>1703.75</v>
      </c>
      <c r="GE17" s="191">
        <v>1285.25</v>
      </c>
      <c r="GF17" s="191">
        <v>407.8</v>
      </c>
      <c r="GG17" s="191">
        <v>4950</v>
      </c>
      <c r="GH17" s="191">
        <v>1000</v>
      </c>
      <c r="GI17" s="191">
        <v>0</v>
      </c>
      <c r="GJ17" s="191">
        <v>510</v>
      </c>
      <c r="GK17" s="191">
        <v>1000</v>
      </c>
      <c r="GL17" s="191">
        <v>1000</v>
      </c>
      <c r="GM17" s="191">
        <v>1000</v>
      </c>
      <c r="GN17" s="191">
        <v>1000</v>
      </c>
      <c r="GO17" s="191">
        <f t="shared" si="20"/>
        <v>15456.8</v>
      </c>
      <c r="GP17" s="191">
        <v>1500</v>
      </c>
      <c r="GQ17" s="191">
        <v>500</v>
      </c>
      <c r="GR17" s="191">
        <v>1500</v>
      </c>
      <c r="GS17" s="191">
        <v>500</v>
      </c>
      <c r="GT17" s="191">
        <v>0</v>
      </c>
      <c r="GU17" s="191">
        <v>1500</v>
      </c>
      <c r="GV17" s="191">
        <v>1500</v>
      </c>
      <c r="GW17" s="191">
        <v>2300</v>
      </c>
      <c r="GX17" s="191" t="s">
        <v>29</v>
      </c>
      <c r="GY17" s="191">
        <v>1000</v>
      </c>
      <c r="GZ17" s="191">
        <v>1722.25</v>
      </c>
      <c r="HA17" s="191">
        <v>1560</v>
      </c>
      <c r="HB17" s="191">
        <v>450</v>
      </c>
      <c r="HC17" s="191">
        <v>2350</v>
      </c>
      <c r="HD17" s="191">
        <v>3352</v>
      </c>
      <c r="HE17" s="191">
        <v>3000</v>
      </c>
      <c r="HF17" s="191">
        <v>1951.1</v>
      </c>
      <c r="HG17" s="191">
        <v>900</v>
      </c>
      <c r="HH17" s="191">
        <v>2979.7</v>
      </c>
      <c r="HI17" s="191">
        <v>2620.3000000000002</v>
      </c>
      <c r="HJ17" s="191">
        <v>500</v>
      </c>
      <c r="HK17" s="191"/>
      <c r="HL17" s="191">
        <v>2000</v>
      </c>
      <c r="HM17" s="191">
        <v>3000</v>
      </c>
      <c r="HN17" s="191">
        <f t="shared" si="21"/>
        <v>23103.1</v>
      </c>
      <c r="HO17" s="191">
        <v>2500</v>
      </c>
      <c r="HP17" s="191">
        <v>2491</v>
      </c>
      <c r="HQ17" s="191">
        <v>1500</v>
      </c>
      <c r="HR17" s="191">
        <v>0</v>
      </c>
      <c r="HS17" s="191">
        <v>1000</v>
      </c>
      <c r="HT17" s="191">
        <v>2000</v>
      </c>
      <c r="HU17" s="410">
        <v>2000</v>
      </c>
      <c r="HV17" s="376">
        <v>1500</v>
      </c>
      <c r="HW17" s="191">
        <v>0</v>
      </c>
      <c r="HX17" s="191">
        <v>2000</v>
      </c>
      <c r="HY17" s="191">
        <v>0</v>
      </c>
      <c r="HZ17" s="410">
        <v>490</v>
      </c>
      <c r="IA17" s="191">
        <v>500</v>
      </c>
      <c r="IB17" s="191">
        <v>679</v>
      </c>
      <c r="IC17" s="191">
        <v>620.79999999999995</v>
      </c>
      <c r="ID17" s="191">
        <v>1500</v>
      </c>
      <c r="IE17" s="191">
        <v>0</v>
      </c>
      <c r="IF17" s="191">
        <v>0</v>
      </c>
      <c r="IG17" s="410">
        <v>0</v>
      </c>
      <c r="IH17" s="410">
        <v>0</v>
      </c>
      <c r="II17" s="410">
        <v>1250</v>
      </c>
      <c r="IJ17" s="191">
        <v>0</v>
      </c>
      <c r="IK17" s="191">
        <v>0</v>
      </c>
      <c r="IL17" s="191">
        <v>500</v>
      </c>
      <c r="IM17" s="191">
        <v>1000</v>
      </c>
      <c r="IN17" s="191">
        <v>560</v>
      </c>
      <c r="IO17" s="191">
        <v>874</v>
      </c>
      <c r="IP17" s="191">
        <v>376</v>
      </c>
      <c r="IQ17" s="191">
        <v>0</v>
      </c>
      <c r="IR17" s="191">
        <v>0</v>
      </c>
      <c r="IS17" s="191">
        <v>1095</v>
      </c>
      <c r="IT17" s="191">
        <v>1000</v>
      </c>
      <c r="IU17" s="191">
        <v>1100</v>
      </c>
      <c r="IV17" s="191">
        <v>0</v>
      </c>
      <c r="IW17" s="191">
        <v>0</v>
      </c>
      <c r="IX17" s="191">
        <v>0</v>
      </c>
      <c r="IY17" s="191">
        <v>378.5</v>
      </c>
      <c r="IZ17" s="191">
        <v>2265.4</v>
      </c>
      <c r="JA17" s="191"/>
      <c r="JB17" s="191"/>
      <c r="JC17" s="191"/>
      <c r="JD17" s="191"/>
      <c r="JE17" s="191"/>
      <c r="JF17" s="191"/>
      <c r="JG17" s="191"/>
      <c r="JH17" s="191"/>
      <c r="JI17" s="191"/>
      <c r="JJ17" s="191"/>
      <c r="JK17" s="410">
        <f t="shared" si="24"/>
        <v>1560</v>
      </c>
      <c r="JL17" s="191">
        <f t="shared" si="25"/>
        <v>2643.9</v>
      </c>
      <c r="JM17" s="10"/>
      <c r="JN17" s="10"/>
      <c r="JO17" s="11"/>
      <c r="JP17" s="11"/>
      <c r="JQ17" s="10"/>
      <c r="JR17" s="10"/>
      <c r="JS17" s="10"/>
      <c r="JT17" s="11"/>
      <c r="JU17" s="11"/>
    </row>
    <row r="18" spans="1:281" x14ac:dyDescent="0.25">
      <c r="A18" s="91" t="s">
        <v>34</v>
      </c>
      <c r="B18" s="34"/>
      <c r="C18" s="34"/>
      <c r="D18" s="34"/>
      <c r="E18" s="79">
        <v>19027</v>
      </c>
      <c r="F18" s="79">
        <v>7434</v>
      </c>
      <c r="G18" s="79">
        <v>9447</v>
      </c>
      <c r="H18" s="79">
        <v>7287</v>
      </c>
      <c r="I18" s="79">
        <v>17062</v>
      </c>
      <c r="J18" s="79">
        <v>9505</v>
      </c>
      <c r="K18" s="79">
        <v>10680</v>
      </c>
      <c r="L18" s="79">
        <v>2181</v>
      </c>
      <c r="M18" s="79">
        <v>3289</v>
      </c>
      <c r="N18" s="92">
        <v>5681</v>
      </c>
      <c r="O18" s="93">
        <v>3389</v>
      </c>
      <c r="P18" s="92">
        <v>11171</v>
      </c>
      <c r="Q18" s="93">
        <v>19703</v>
      </c>
      <c r="R18" s="93">
        <v>12422.05</v>
      </c>
      <c r="S18" s="92">
        <v>445</v>
      </c>
      <c r="T18" s="92">
        <v>1275</v>
      </c>
      <c r="U18" s="69">
        <v>1235</v>
      </c>
      <c r="V18" s="69">
        <v>444</v>
      </c>
      <c r="W18" s="93">
        <v>2164</v>
      </c>
      <c r="X18" s="93">
        <v>1130</v>
      </c>
      <c r="Y18" s="94">
        <f>1441+55</f>
        <v>1496</v>
      </c>
      <c r="Z18" s="93">
        <v>1604</v>
      </c>
      <c r="AA18" s="93">
        <v>926</v>
      </c>
      <c r="AB18" s="93">
        <v>192</v>
      </c>
      <c r="AC18" s="94">
        <f>696+10</f>
        <v>706</v>
      </c>
      <c r="AD18" s="93">
        <v>805.05</v>
      </c>
      <c r="AE18" s="105">
        <f>SUM(S18:AD18)</f>
        <v>12422.05</v>
      </c>
      <c r="AF18" s="101">
        <v>13977.8</v>
      </c>
      <c r="AG18" s="101">
        <v>15403</v>
      </c>
      <c r="AH18" s="105">
        <v>16097</v>
      </c>
      <c r="AI18" s="105">
        <v>14415</v>
      </c>
      <c r="AJ18" s="105">
        <v>9440</v>
      </c>
      <c r="AK18" s="105">
        <v>8785</v>
      </c>
      <c r="AL18" s="69">
        <v>6139.25</v>
      </c>
      <c r="AM18" s="69">
        <v>1335.55</v>
      </c>
      <c r="AN18" s="101">
        <v>75</v>
      </c>
      <c r="AO18" s="69">
        <v>140</v>
      </c>
      <c r="AP18" s="104" t="s">
        <v>29</v>
      </c>
      <c r="AQ18" s="69">
        <v>75</v>
      </c>
      <c r="AR18" s="101">
        <v>70</v>
      </c>
      <c r="AS18" s="69">
        <v>20.6</v>
      </c>
      <c r="AT18" s="69">
        <v>71.099999999999994</v>
      </c>
      <c r="AU18" s="69">
        <v>84.5</v>
      </c>
      <c r="AV18" s="69">
        <v>145</v>
      </c>
      <c r="AW18" s="69">
        <v>289.35000000000002</v>
      </c>
      <c r="AX18" s="101">
        <v>365</v>
      </c>
      <c r="AY18" s="101" t="s">
        <v>29</v>
      </c>
      <c r="AZ18" s="69">
        <f>SUM(AN18:AY18)</f>
        <v>1335.5500000000002</v>
      </c>
      <c r="BA18" s="69">
        <v>1763.05</v>
      </c>
      <c r="BB18" s="69">
        <v>6074.9</v>
      </c>
      <c r="BC18" s="69">
        <v>12921.315999999999</v>
      </c>
      <c r="BD18" s="69">
        <v>9892.99</v>
      </c>
      <c r="BE18" s="69">
        <v>5586.49</v>
      </c>
      <c r="BF18" s="191">
        <v>4739.37</v>
      </c>
      <c r="BG18" s="191">
        <v>4673.4790000000003</v>
      </c>
      <c r="BH18" s="191">
        <v>2853.3399999999997</v>
      </c>
      <c r="BI18" s="191">
        <v>1140.8200000000002</v>
      </c>
      <c r="BJ18" s="191">
        <v>2925.4049999999997</v>
      </c>
      <c r="BK18" s="191">
        <v>630.45000000000005</v>
      </c>
      <c r="BL18" s="191">
        <v>3219.87</v>
      </c>
      <c r="BM18" s="191">
        <v>1128.05</v>
      </c>
      <c r="BN18" s="191">
        <v>3377.05</v>
      </c>
      <c r="BO18" s="191">
        <v>16088.355</v>
      </c>
      <c r="BP18" s="191">
        <v>140</v>
      </c>
      <c r="BQ18" s="191">
        <v>0</v>
      </c>
      <c r="BR18" s="191">
        <v>100</v>
      </c>
      <c r="BS18" s="191">
        <v>340.9</v>
      </c>
      <c r="BT18" s="191">
        <v>200</v>
      </c>
      <c r="BU18" s="191">
        <v>370</v>
      </c>
      <c r="BV18" s="191">
        <v>510</v>
      </c>
      <c r="BW18" s="191">
        <v>206.35</v>
      </c>
      <c r="BX18" s="191">
        <v>410</v>
      </c>
      <c r="BY18" s="191">
        <v>929.8</v>
      </c>
      <c r="BZ18" s="191">
        <v>170</v>
      </c>
      <c r="CA18" s="191">
        <v>3377.05</v>
      </c>
      <c r="CB18" s="191">
        <f t="shared" si="22"/>
        <v>6754.1</v>
      </c>
      <c r="CC18" s="191" t="s">
        <v>29</v>
      </c>
      <c r="CD18" s="191">
        <v>307.95</v>
      </c>
      <c r="CE18" s="191">
        <v>70</v>
      </c>
      <c r="CF18" s="191">
        <v>70</v>
      </c>
      <c r="CG18" s="191"/>
      <c r="CH18" s="191">
        <v>459.5</v>
      </c>
      <c r="CI18" s="191">
        <v>630</v>
      </c>
      <c r="CJ18" s="191">
        <v>1050</v>
      </c>
      <c r="CK18" s="191">
        <v>1210.8</v>
      </c>
      <c r="CL18" s="191">
        <v>381.55</v>
      </c>
      <c r="CM18" s="191">
        <v>842.65</v>
      </c>
      <c r="CN18" s="191">
        <v>1052.45</v>
      </c>
      <c r="CO18" s="191">
        <f>SUM(CC18:CN18)</f>
        <v>6074.9</v>
      </c>
      <c r="CP18" s="191">
        <v>910</v>
      </c>
      <c r="CQ18" s="191">
        <v>962.51</v>
      </c>
      <c r="CR18" s="191">
        <v>1804.06</v>
      </c>
      <c r="CS18" s="191">
        <v>1284.47</v>
      </c>
      <c r="CT18" s="191">
        <v>774.08500000000004</v>
      </c>
      <c r="CU18" s="191">
        <v>631.58000000000004</v>
      </c>
      <c r="CV18" s="191">
        <v>1652.31</v>
      </c>
      <c r="CW18" s="191">
        <v>980.88499999999999</v>
      </c>
      <c r="CX18" s="191">
        <v>700.55</v>
      </c>
      <c r="CY18" s="191">
        <v>1210</v>
      </c>
      <c r="CZ18" s="191">
        <v>1130.4159999999999</v>
      </c>
      <c r="DA18" s="191">
        <v>880.45</v>
      </c>
      <c r="DB18" s="191">
        <f>SUM(CP18:DA18)</f>
        <v>12921.315999999999</v>
      </c>
      <c r="DC18" s="191">
        <v>280</v>
      </c>
      <c r="DD18" s="191">
        <v>656.52</v>
      </c>
      <c r="DE18" s="191">
        <v>1071.8</v>
      </c>
      <c r="DF18" s="191">
        <v>714.95</v>
      </c>
      <c r="DG18" s="191">
        <v>1400</v>
      </c>
      <c r="DH18" s="191">
        <v>1190</v>
      </c>
      <c r="DI18" s="191">
        <v>701.5</v>
      </c>
      <c r="DJ18" s="191">
        <v>704.07</v>
      </c>
      <c r="DK18" s="191">
        <v>91.1</v>
      </c>
      <c r="DL18" s="191">
        <v>1189.75</v>
      </c>
      <c r="DM18" s="191">
        <v>1122.3</v>
      </c>
      <c r="DN18" s="191">
        <v>771</v>
      </c>
      <c r="DO18" s="191">
        <f>SUM(DC18:DN18)</f>
        <v>9892.99</v>
      </c>
      <c r="DP18" s="191">
        <v>707</v>
      </c>
      <c r="DQ18" s="191"/>
      <c r="DR18" s="191">
        <v>490</v>
      </c>
      <c r="DS18" s="191">
        <v>420</v>
      </c>
      <c r="DT18" s="191">
        <v>560</v>
      </c>
      <c r="DU18" s="191" t="s">
        <v>29</v>
      </c>
      <c r="DV18" s="191">
        <v>1189.8399999999999</v>
      </c>
      <c r="DW18" s="191">
        <v>560</v>
      </c>
      <c r="DX18" s="191">
        <v>283.7</v>
      </c>
      <c r="DY18" s="191">
        <v>646.5</v>
      </c>
      <c r="DZ18" s="191">
        <f>70+99.45</f>
        <v>169.45</v>
      </c>
      <c r="EA18" s="191">
        <v>560</v>
      </c>
      <c r="EB18" s="191">
        <f t="shared" si="17"/>
        <v>5586.49</v>
      </c>
      <c r="EC18" s="191">
        <v>681.1</v>
      </c>
      <c r="ED18" s="191">
        <v>223.45</v>
      </c>
      <c r="EE18" s="191">
        <v>300.3</v>
      </c>
      <c r="EF18" s="191">
        <v>146.35</v>
      </c>
      <c r="EG18" s="191">
        <v>81.099999999999994</v>
      </c>
      <c r="EH18" s="191">
        <v>213.4</v>
      </c>
      <c r="EI18" s="191">
        <v>422.9</v>
      </c>
      <c r="EJ18" s="191">
        <v>388.55</v>
      </c>
      <c r="EK18" s="191">
        <v>469.07</v>
      </c>
      <c r="EL18" s="191">
        <v>308.45</v>
      </c>
      <c r="EM18" s="191">
        <v>817.35</v>
      </c>
      <c r="EN18" s="191">
        <v>687.35</v>
      </c>
      <c r="EO18" s="191">
        <f>SUM(EC18:EN18)</f>
        <v>4739.37</v>
      </c>
      <c r="EP18" s="191">
        <v>510.96</v>
      </c>
      <c r="EQ18" s="191">
        <v>634.97500000000002</v>
      </c>
      <c r="ER18" s="191">
        <v>438.9</v>
      </c>
      <c r="ES18" s="191">
        <v>287.3</v>
      </c>
      <c r="ET18" s="191">
        <v>0</v>
      </c>
      <c r="EU18" s="191">
        <v>71.97</v>
      </c>
      <c r="EV18" s="191">
        <v>211.7</v>
      </c>
      <c r="EW18" s="191">
        <v>145.42400000000001</v>
      </c>
      <c r="EX18" s="191">
        <v>431.5</v>
      </c>
      <c r="EY18" s="191">
        <v>287.35000000000002</v>
      </c>
      <c r="EZ18" s="191">
        <v>1082.8</v>
      </c>
      <c r="FA18" s="191">
        <v>570.6</v>
      </c>
      <c r="FB18" s="191">
        <f>SUM(EP18:FA18)</f>
        <v>4673.4790000000003</v>
      </c>
      <c r="FC18" s="191">
        <v>286.25</v>
      </c>
      <c r="FD18" s="191">
        <v>342</v>
      </c>
      <c r="FE18" s="191">
        <v>73.099999999999994</v>
      </c>
      <c r="FF18" s="191">
        <v>294.02</v>
      </c>
      <c r="FG18" s="191">
        <v>431.48</v>
      </c>
      <c r="FH18" s="191">
        <v>650.04999999999995</v>
      </c>
      <c r="FI18" s="191">
        <v>70</v>
      </c>
      <c r="FJ18" s="191">
        <v>0</v>
      </c>
      <c r="FK18" s="191">
        <v>283.98</v>
      </c>
      <c r="FL18" s="191">
        <v>70</v>
      </c>
      <c r="FM18" s="191">
        <v>142.46</v>
      </c>
      <c r="FN18" s="191">
        <v>210</v>
      </c>
      <c r="FO18" s="191">
        <f t="shared" si="18"/>
        <v>2853.3399999999997</v>
      </c>
      <c r="FP18" s="191">
        <v>0</v>
      </c>
      <c r="FQ18" s="191">
        <v>350.92</v>
      </c>
      <c r="FR18" s="191">
        <v>2</v>
      </c>
      <c r="FS18" s="191">
        <v>0</v>
      </c>
      <c r="FT18" s="191">
        <v>0</v>
      </c>
      <c r="FU18" s="191">
        <v>0</v>
      </c>
      <c r="FV18" s="191">
        <v>70</v>
      </c>
      <c r="FW18" s="191">
        <v>157.9</v>
      </c>
      <c r="FX18" s="191">
        <v>0</v>
      </c>
      <c r="FY18" s="191">
        <v>70</v>
      </c>
      <c r="FZ18" s="191">
        <v>280</v>
      </c>
      <c r="GA18" s="191">
        <v>210</v>
      </c>
      <c r="GB18" s="191">
        <f t="shared" si="19"/>
        <v>1140.8200000000002</v>
      </c>
      <c r="GC18" s="191">
        <v>280</v>
      </c>
      <c r="GD18" s="191">
        <v>361.25</v>
      </c>
      <c r="GE18" s="191">
        <v>511.15</v>
      </c>
      <c r="GF18" s="191">
        <v>70</v>
      </c>
      <c r="GG18" s="191">
        <v>70</v>
      </c>
      <c r="GH18" s="191">
        <v>294.27999999999997</v>
      </c>
      <c r="GI18" s="191">
        <v>70</v>
      </c>
      <c r="GJ18" s="191">
        <v>0</v>
      </c>
      <c r="GK18" s="191">
        <v>0</v>
      </c>
      <c r="GL18" s="191">
        <v>428.07499999999999</v>
      </c>
      <c r="GM18" s="191">
        <v>323.95</v>
      </c>
      <c r="GN18" s="191">
        <v>516.70000000000005</v>
      </c>
      <c r="GO18" s="191">
        <f t="shared" si="20"/>
        <v>2925.4049999999997</v>
      </c>
      <c r="GP18" s="191">
        <v>0.45</v>
      </c>
      <c r="GQ18" s="191">
        <v>0</v>
      </c>
      <c r="GR18" s="191">
        <v>0</v>
      </c>
      <c r="GS18" s="191">
        <v>0</v>
      </c>
      <c r="GT18" s="191">
        <v>0</v>
      </c>
      <c r="GU18" s="191">
        <v>0</v>
      </c>
      <c r="GV18" s="191">
        <v>0</v>
      </c>
      <c r="GW18" s="191">
        <v>0</v>
      </c>
      <c r="GX18" s="191" t="s">
        <v>29</v>
      </c>
      <c r="GY18" s="191">
        <v>0</v>
      </c>
      <c r="GZ18" s="191">
        <v>490</v>
      </c>
      <c r="HA18" s="191">
        <v>140</v>
      </c>
      <c r="HB18" s="191">
        <v>283.25</v>
      </c>
      <c r="HC18" s="191">
        <v>212.9</v>
      </c>
      <c r="HD18" s="191">
        <v>210</v>
      </c>
      <c r="HE18" s="191">
        <v>350</v>
      </c>
      <c r="HF18" s="191">
        <v>350</v>
      </c>
      <c r="HG18" s="191">
        <v>55.02</v>
      </c>
      <c r="HH18" s="191"/>
      <c r="HI18" s="191">
        <v>218.7</v>
      </c>
      <c r="HJ18" s="191">
        <v>280</v>
      </c>
      <c r="HK18" s="191">
        <v>280</v>
      </c>
      <c r="HL18" s="191">
        <v>280</v>
      </c>
      <c r="HM18" s="191">
        <v>700</v>
      </c>
      <c r="HN18" s="191">
        <f t="shared" si="21"/>
        <v>3219.87</v>
      </c>
      <c r="HO18" s="191">
        <v>242.9</v>
      </c>
      <c r="HP18" s="191">
        <v>140</v>
      </c>
      <c r="HQ18" s="191">
        <v>270</v>
      </c>
      <c r="HR18" s="191">
        <v>0</v>
      </c>
      <c r="HS18" s="191">
        <v>0</v>
      </c>
      <c r="HT18" s="191">
        <v>0</v>
      </c>
      <c r="HU18" s="410">
        <v>0</v>
      </c>
      <c r="HV18" s="376">
        <v>355.15</v>
      </c>
      <c r="HW18" s="389">
        <v>120</v>
      </c>
      <c r="HX18" s="191">
        <v>0</v>
      </c>
      <c r="HY18" s="191">
        <v>0</v>
      </c>
      <c r="HZ18" s="410">
        <v>0</v>
      </c>
      <c r="IA18" s="191">
        <v>0</v>
      </c>
      <c r="IB18" s="191">
        <v>140</v>
      </c>
      <c r="IC18" s="191">
        <v>0</v>
      </c>
      <c r="ID18" s="191">
        <v>100</v>
      </c>
      <c r="IE18" s="191">
        <v>340.9</v>
      </c>
      <c r="IF18" s="191">
        <v>200</v>
      </c>
      <c r="IG18" s="410">
        <v>370</v>
      </c>
      <c r="IH18" s="410">
        <v>510</v>
      </c>
      <c r="II18" s="410">
        <v>206.35</v>
      </c>
      <c r="IJ18" s="410">
        <v>410</v>
      </c>
      <c r="IK18" s="410">
        <v>929.8</v>
      </c>
      <c r="IL18" s="410">
        <v>170</v>
      </c>
      <c r="IM18" s="410">
        <v>780.32500000000005</v>
      </c>
      <c r="IN18" s="410">
        <v>1296.905</v>
      </c>
      <c r="IO18" s="410">
        <v>1244.8</v>
      </c>
      <c r="IP18" s="410">
        <v>1052.55</v>
      </c>
      <c r="IQ18" s="410">
        <v>958.65000000000009</v>
      </c>
      <c r="IR18" s="410">
        <v>1008.85</v>
      </c>
      <c r="IS18" s="410">
        <v>1269.8499999999999</v>
      </c>
      <c r="IT18" s="410">
        <v>1850.05</v>
      </c>
      <c r="IU18" s="410">
        <v>2453.0250000000001</v>
      </c>
      <c r="IV18" s="410">
        <v>310</v>
      </c>
      <c r="IW18" s="410">
        <v>1676.4749999999999</v>
      </c>
      <c r="IX18" s="410">
        <v>2186.875</v>
      </c>
      <c r="IY18" s="410">
        <v>1874.1</v>
      </c>
      <c r="IZ18" s="410">
        <v>1805</v>
      </c>
      <c r="JA18" s="410"/>
      <c r="JB18" s="410"/>
      <c r="JC18" s="410"/>
      <c r="JD18" s="410"/>
      <c r="JE18" s="410"/>
      <c r="JF18" s="410"/>
      <c r="JG18" s="410"/>
      <c r="JH18" s="410"/>
      <c r="JI18" s="410"/>
      <c r="JJ18" s="410"/>
      <c r="JK18" s="410">
        <f t="shared" si="24"/>
        <v>2077.23</v>
      </c>
      <c r="JL18" s="191">
        <f t="shared" si="25"/>
        <v>3679.1</v>
      </c>
      <c r="JM18" s="10"/>
      <c r="JN18" s="10"/>
      <c r="JO18" s="10"/>
      <c r="JP18" s="10"/>
      <c r="JQ18" s="10"/>
      <c r="JR18" s="10"/>
      <c r="JS18" s="10"/>
      <c r="JT18" s="11"/>
      <c r="JU18" s="11"/>
    </row>
    <row r="19" spans="1:281" x14ac:dyDescent="0.25">
      <c r="A19" s="91" t="s">
        <v>35</v>
      </c>
      <c r="B19" s="34"/>
      <c r="C19" s="34"/>
      <c r="D19" s="34"/>
      <c r="E19" s="79">
        <v>791</v>
      </c>
      <c r="F19" s="79">
        <v>1765</v>
      </c>
      <c r="G19" s="79">
        <v>1785</v>
      </c>
      <c r="H19" s="79">
        <v>1868</v>
      </c>
      <c r="I19" s="79">
        <v>2469</v>
      </c>
      <c r="J19" s="79">
        <v>2605</v>
      </c>
      <c r="K19" s="79">
        <v>2733</v>
      </c>
      <c r="L19" s="79">
        <v>54756</v>
      </c>
      <c r="M19" s="79">
        <v>28875</v>
      </c>
      <c r="N19" s="92">
        <v>5908</v>
      </c>
      <c r="O19" s="93">
        <v>4289</v>
      </c>
      <c r="P19" s="92">
        <v>12035</v>
      </c>
      <c r="Q19" s="93">
        <v>10178</v>
      </c>
      <c r="R19" s="93">
        <v>26074.553</v>
      </c>
      <c r="S19" s="92">
        <v>959</v>
      </c>
      <c r="T19" s="92">
        <v>2325</v>
      </c>
      <c r="U19" s="69">
        <v>1966</v>
      </c>
      <c r="V19" s="69">
        <v>4899</v>
      </c>
      <c r="W19" s="93">
        <v>1163</v>
      </c>
      <c r="X19" s="93">
        <f>1351+35</f>
        <v>1386</v>
      </c>
      <c r="Y19" s="94">
        <f>1535+6</f>
        <v>1541</v>
      </c>
      <c r="Z19" s="93">
        <f>2258+38</f>
        <v>2296</v>
      </c>
      <c r="AA19" s="93">
        <v>1633</v>
      </c>
      <c r="AB19" s="93">
        <v>1870</v>
      </c>
      <c r="AC19" s="94">
        <f>1765+25</f>
        <v>1790</v>
      </c>
      <c r="AD19" s="93">
        <f>4208.353+38.2</f>
        <v>4246.5529999999999</v>
      </c>
      <c r="AE19" s="105">
        <f>SUM(S19:AD19)</f>
        <v>26074.553</v>
      </c>
      <c r="AF19" s="101">
        <v>17364.023000000001</v>
      </c>
      <c r="AG19" s="101">
        <v>17922</v>
      </c>
      <c r="AH19" s="105">
        <v>13865</v>
      </c>
      <c r="AI19" s="105">
        <v>11579</v>
      </c>
      <c r="AJ19" s="105">
        <v>22205</v>
      </c>
      <c r="AK19" s="105">
        <v>13873</v>
      </c>
      <c r="AL19" s="69">
        <v>11405.069000000001</v>
      </c>
      <c r="AM19" s="69">
        <v>7699.598</v>
      </c>
      <c r="AN19" s="101">
        <v>982.9</v>
      </c>
      <c r="AO19" s="101">
        <v>308.25400000000002</v>
      </c>
      <c r="AP19" s="101">
        <v>897.37300000000005</v>
      </c>
      <c r="AQ19" s="69">
        <v>51.2</v>
      </c>
      <c r="AR19" s="101">
        <v>475.01600000000002</v>
      </c>
      <c r="AS19" s="69">
        <v>720.42499999999995</v>
      </c>
      <c r="AT19" s="101">
        <v>1032.8399999999999</v>
      </c>
      <c r="AU19" s="69" t="s">
        <v>29</v>
      </c>
      <c r="AV19" s="101">
        <v>181.001</v>
      </c>
      <c r="AW19" s="69">
        <v>910.55799999999999</v>
      </c>
      <c r="AX19" s="69">
        <v>1399</v>
      </c>
      <c r="AY19" s="101">
        <v>741.03099999999995</v>
      </c>
      <c r="AZ19" s="69">
        <f>SUM(AN19:AY19)</f>
        <v>7699.598</v>
      </c>
      <c r="BA19" s="69">
        <v>10185.969999999999</v>
      </c>
      <c r="BB19" s="101" t="s">
        <v>29</v>
      </c>
      <c r="BC19" s="69">
        <v>13972.767</v>
      </c>
      <c r="BD19" s="69">
        <v>45468.901000000005</v>
      </c>
      <c r="BE19" s="69">
        <v>4132.5969999999998</v>
      </c>
      <c r="BF19" s="191">
        <v>1743.1690000000001</v>
      </c>
      <c r="BG19" s="191">
        <v>721.12800000000016</v>
      </c>
      <c r="BH19" s="191">
        <v>306.64800000000002</v>
      </c>
      <c r="BI19" s="191">
        <v>460.03899999999999</v>
      </c>
      <c r="BJ19" s="191">
        <v>616.32899999999995</v>
      </c>
      <c r="BK19" s="191">
        <v>160.929</v>
      </c>
      <c r="BL19" s="191">
        <v>9372.2150000000001</v>
      </c>
      <c r="BM19" s="191">
        <v>700.69799999999998</v>
      </c>
      <c r="BN19" s="191">
        <v>121.65</v>
      </c>
      <c r="BO19" s="191">
        <v>270.185</v>
      </c>
      <c r="BP19" s="191">
        <v>20.07</v>
      </c>
      <c r="BQ19" s="191">
        <v>7.5</v>
      </c>
      <c r="BR19" s="191">
        <v>5</v>
      </c>
      <c r="BS19" s="191">
        <v>12</v>
      </c>
      <c r="BT19" s="191">
        <v>5.5</v>
      </c>
      <c r="BU19" s="191">
        <v>0</v>
      </c>
      <c r="BV19" s="191">
        <v>17.46</v>
      </c>
      <c r="BW19" s="191">
        <v>35.700000000000003</v>
      </c>
      <c r="BX19" s="191">
        <v>1.92</v>
      </c>
      <c r="BY19" s="191">
        <v>13.5</v>
      </c>
      <c r="BZ19" s="191">
        <v>3</v>
      </c>
      <c r="CA19" s="191">
        <v>121.65</v>
      </c>
      <c r="CB19" s="191">
        <f t="shared" si="22"/>
        <v>243.3</v>
      </c>
      <c r="CC19" s="191" t="s">
        <v>29</v>
      </c>
      <c r="CD19" s="191" t="s">
        <v>29</v>
      </c>
      <c r="CE19" s="191" t="s">
        <v>29</v>
      </c>
      <c r="CF19" s="191" t="s">
        <v>29</v>
      </c>
      <c r="CG19" s="191" t="s">
        <v>29</v>
      </c>
      <c r="CH19" s="191" t="s">
        <v>29</v>
      </c>
      <c r="CI19" s="191" t="s">
        <v>29</v>
      </c>
      <c r="CJ19" s="191" t="s">
        <v>29</v>
      </c>
      <c r="CK19" s="191" t="s">
        <v>29</v>
      </c>
      <c r="CL19" s="191" t="s">
        <v>29</v>
      </c>
      <c r="CM19" s="191" t="s">
        <v>29</v>
      </c>
      <c r="CN19" s="191" t="s">
        <v>29</v>
      </c>
      <c r="CO19" s="191">
        <f>SUM(CC19:CN19)</f>
        <v>0</v>
      </c>
      <c r="CP19" s="191">
        <v>1815.2380000000001</v>
      </c>
      <c r="CQ19" s="191">
        <v>1847.951</v>
      </c>
      <c r="CR19" s="191">
        <v>682.053</v>
      </c>
      <c r="CS19" s="191">
        <v>553.476</v>
      </c>
      <c r="CT19" s="191">
        <v>779.69799999999998</v>
      </c>
      <c r="CU19" s="191">
        <v>384.27499999999998</v>
      </c>
      <c r="CV19" s="191">
        <v>359.06200000000001</v>
      </c>
      <c r="CW19" s="191">
        <v>2153.951</v>
      </c>
      <c r="CX19" s="191">
        <v>1066.268</v>
      </c>
      <c r="CY19" s="191">
        <v>899.495</v>
      </c>
      <c r="CZ19" s="191">
        <v>2336.0340000000001</v>
      </c>
      <c r="DA19" s="191">
        <v>1095.2660000000001</v>
      </c>
      <c r="DB19" s="191">
        <f>SUM(CP19:DA19)</f>
        <v>13972.767</v>
      </c>
      <c r="DC19" s="191">
        <v>3658.797</v>
      </c>
      <c r="DD19" s="191">
        <v>4749</v>
      </c>
      <c r="DE19" s="191">
        <v>5592.4489999999996</v>
      </c>
      <c r="DF19" s="191">
        <v>3160.143</v>
      </c>
      <c r="DG19" s="191">
        <v>4096.5600000000004</v>
      </c>
      <c r="DH19" s="191">
        <v>5338.9650000000001</v>
      </c>
      <c r="DI19" s="191">
        <v>5185.3680000000004</v>
      </c>
      <c r="DJ19" s="191">
        <v>3685.989</v>
      </c>
      <c r="DK19" s="191">
        <v>1291.413</v>
      </c>
      <c r="DL19" s="191">
        <f>1568.289+23.7</f>
        <v>1591.989</v>
      </c>
      <c r="DM19" s="191">
        <v>4880.43</v>
      </c>
      <c r="DN19" s="191">
        <v>1239.4870000000001</v>
      </c>
      <c r="DO19" s="191">
        <f>SUM(DC19:DN19)</f>
        <v>44470.590000000004</v>
      </c>
      <c r="DP19" s="191">
        <v>336.74699999999996</v>
      </c>
      <c r="DQ19" s="191">
        <v>261.95499999999998</v>
      </c>
      <c r="DR19" s="191">
        <v>660.923</v>
      </c>
      <c r="DS19" s="191">
        <v>191.059</v>
      </c>
      <c r="DT19" s="191">
        <v>797.78599999999994</v>
      </c>
      <c r="DU19" s="191">
        <v>96.554000000000002</v>
      </c>
      <c r="DV19" s="191">
        <v>112.304</v>
      </c>
      <c r="DW19" s="191">
        <v>137.46</v>
      </c>
      <c r="DX19" s="191">
        <f>804.784</f>
        <v>804.78399999999999</v>
      </c>
      <c r="DY19" s="191">
        <v>129.846</v>
      </c>
      <c r="DZ19" s="191">
        <f>1.872+87.557</f>
        <v>89.429000000000002</v>
      </c>
      <c r="EA19" s="191">
        <v>513.75</v>
      </c>
      <c r="EB19" s="191">
        <f t="shared" si="17"/>
        <v>4132.5969999999998</v>
      </c>
      <c r="EC19" s="191">
        <v>662.50700000000006</v>
      </c>
      <c r="ED19" s="191">
        <v>32.112000000000002</v>
      </c>
      <c r="EE19" s="191">
        <v>161.54600000000002</v>
      </c>
      <c r="EF19" s="191">
        <v>215.89500000000001</v>
      </c>
      <c r="EG19" s="191">
        <v>93.288000000000011</v>
      </c>
      <c r="EH19" s="191">
        <v>62.88</v>
      </c>
      <c r="EI19" s="191">
        <v>86.504000000000005</v>
      </c>
      <c r="EJ19" s="191">
        <v>130.666</v>
      </c>
      <c r="EK19" s="191">
        <v>85.135999999999996</v>
      </c>
      <c r="EL19" s="191">
        <v>57.362000000000002</v>
      </c>
      <c r="EM19" s="191">
        <v>40.646000000000001</v>
      </c>
      <c r="EN19" s="191">
        <v>114.627</v>
      </c>
      <c r="EO19" s="191">
        <f>SUM(EC19:EN19)</f>
        <v>1743.1690000000001</v>
      </c>
      <c r="EP19" s="191">
        <v>85.221999999999994</v>
      </c>
      <c r="EQ19" s="191">
        <v>32.895000000000003</v>
      </c>
      <c r="ER19" s="191">
        <v>28.47</v>
      </c>
      <c r="ES19" s="191">
        <v>206.07999999999998</v>
      </c>
      <c r="ET19" s="191">
        <v>184.39099999999999</v>
      </c>
      <c r="EU19" s="191">
        <v>59.305999999999997</v>
      </c>
      <c r="EV19" s="191">
        <v>15.272</v>
      </c>
      <c r="EW19" s="191">
        <v>16.560000000000002</v>
      </c>
      <c r="EX19" s="191">
        <v>6.5529999999999999</v>
      </c>
      <c r="EY19" s="191">
        <v>36.835999999999999</v>
      </c>
      <c r="EZ19" s="191">
        <v>33.932000000000002</v>
      </c>
      <c r="FA19" s="191">
        <v>15.611000000000001</v>
      </c>
      <c r="FB19" s="191">
        <f>SUM(EP19:FA19)</f>
        <v>721.12800000000016</v>
      </c>
      <c r="FC19" s="191">
        <v>8.2669999999999995</v>
      </c>
      <c r="FD19" s="191">
        <v>0</v>
      </c>
      <c r="FE19" s="191">
        <v>58.744</v>
      </c>
      <c r="FF19" s="191">
        <v>98.037000000000006</v>
      </c>
      <c r="FG19" s="191">
        <v>7.7750000000000004</v>
      </c>
      <c r="FH19" s="191">
        <v>4.1379999999999999</v>
      </c>
      <c r="FI19" s="191">
        <v>19.55</v>
      </c>
      <c r="FJ19" s="191">
        <v>6.7110000000000003</v>
      </c>
      <c r="FK19" s="191">
        <v>12.766999999999999</v>
      </c>
      <c r="FL19" s="191">
        <v>22.986000000000001</v>
      </c>
      <c r="FM19" s="191">
        <v>38.473999999999997</v>
      </c>
      <c r="FN19" s="191">
        <v>29.199000000000002</v>
      </c>
      <c r="FO19" s="191">
        <f t="shared" si="18"/>
        <v>306.64800000000002</v>
      </c>
      <c r="FP19" s="191">
        <v>47.070999999999998</v>
      </c>
      <c r="FQ19" s="191">
        <v>23.494</v>
      </c>
      <c r="FR19" s="191">
        <v>38.045000000000002</v>
      </c>
      <c r="FS19" s="191">
        <v>0</v>
      </c>
      <c r="FT19" s="191">
        <v>37.923000000000002</v>
      </c>
      <c r="FU19" s="191">
        <v>89.074000000000012</v>
      </c>
      <c r="FV19" s="191">
        <v>51.373999999999995</v>
      </c>
      <c r="FW19" s="191">
        <v>23.37</v>
      </c>
      <c r="FX19" s="191">
        <v>9.8500000000000014</v>
      </c>
      <c r="FY19" s="191">
        <v>81.14</v>
      </c>
      <c r="FZ19" s="191">
        <v>7.65</v>
      </c>
      <c r="GA19" s="191">
        <v>51.048000000000002</v>
      </c>
      <c r="GB19" s="191">
        <f t="shared" si="19"/>
        <v>460.03899999999999</v>
      </c>
      <c r="GC19" s="191">
        <v>11.44</v>
      </c>
      <c r="GD19" s="191">
        <v>16.920000000000002</v>
      </c>
      <c r="GE19" s="191">
        <v>2.8450000000000002</v>
      </c>
      <c r="GF19" s="191">
        <v>2.68</v>
      </c>
      <c r="GG19" s="191">
        <v>21.838000000000001</v>
      </c>
      <c r="GH19" s="191">
        <v>15.71</v>
      </c>
      <c r="GI19" s="191">
        <v>0</v>
      </c>
      <c r="GJ19" s="191">
        <v>104.51</v>
      </c>
      <c r="GK19" s="191">
        <v>44.335999999999999</v>
      </c>
      <c r="GL19" s="191">
        <v>1.86</v>
      </c>
      <c r="GM19" s="191">
        <v>34.39</v>
      </c>
      <c r="GN19" s="191">
        <v>359.8</v>
      </c>
      <c r="GO19" s="191">
        <f t="shared" si="20"/>
        <v>616.32899999999995</v>
      </c>
      <c r="GP19" s="191">
        <v>51.17</v>
      </c>
      <c r="GQ19" s="191">
        <v>64.63</v>
      </c>
      <c r="GR19" s="191">
        <v>0.25</v>
      </c>
      <c r="GS19" s="191">
        <v>0</v>
      </c>
      <c r="GT19" s="191">
        <v>19.649999999999999</v>
      </c>
      <c r="GU19" s="191">
        <v>0</v>
      </c>
      <c r="GV19" s="191">
        <v>0.42099999999999999</v>
      </c>
      <c r="GW19" s="191">
        <v>20.36</v>
      </c>
      <c r="GX19" s="191">
        <v>2.5</v>
      </c>
      <c r="GY19" s="191">
        <v>0.33</v>
      </c>
      <c r="GZ19" s="191">
        <v>0</v>
      </c>
      <c r="HA19" s="191">
        <v>1.6180000000000001</v>
      </c>
      <c r="HB19" s="191">
        <v>6.4429999999999996</v>
      </c>
      <c r="HC19" s="191"/>
      <c r="HD19" s="191">
        <v>20.89</v>
      </c>
      <c r="HE19" s="191">
        <f>2.6+1039.92+1+10.832</f>
        <v>1054.3520000000001</v>
      </c>
      <c r="HF19" s="191">
        <v>22.81</v>
      </c>
      <c r="HG19" s="191">
        <f>1480+27.77+4.34</f>
        <v>1512.11</v>
      </c>
      <c r="HH19" s="191">
        <f>2696.48+131+6.06</f>
        <v>2833.54</v>
      </c>
      <c r="HI19" s="191">
        <f>32.031+1601+8.905+10</f>
        <v>1651.9359999999999</v>
      </c>
      <c r="HJ19" s="191">
        <f>12.98+52.6+18.87+20</f>
        <v>104.45</v>
      </c>
      <c r="HK19" s="191">
        <f>84+15.284</f>
        <v>99.284000000000006</v>
      </c>
      <c r="HL19" s="191">
        <f>35.3+6</f>
        <v>41.3</v>
      </c>
      <c r="HM19" s="191">
        <f>16.684+2000+8.416</f>
        <v>2025.1</v>
      </c>
      <c r="HN19" s="191">
        <f t="shared" si="21"/>
        <v>9372.2150000000001</v>
      </c>
      <c r="HO19" s="191">
        <v>489.67</v>
      </c>
      <c r="HP19" s="191">
        <v>3</v>
      </c>
      <c r="HQ19" s="191">
        <v>15.385</v>
      </c>
      <c r="HR19" s="191">
        <v>17.41</v>
      </c>
      <c r="HS19" s="191">
        <v>40.201999999999998</v>
      </c>
      <c r="HT19" s="191">
        <v>13.395</v>
      </c>
      <c r="HU19" s="429">
        <v>22.365000000000002</v>
      </c>
      <c r="HV19" s="376">
        <v>32.760999999999996</v>
      </c>
      <c r="HW19" s="389">
        <v>13.07</v>
      </c>
      <c r="HX19" s="389">
        <v>31</v>
      </c>
      <c r="HY19" s="389">
        <v>9.17</v>
      </c>
      <c r="HZ19" s="411">
        <v>13.27</v>
      </c>
      <c r="IA19" s="191">
        <v>0</v>
      </c>
      <c r="IB19" s="191">
        <v>20.07</v>
      </c>
      <c r="IC19" s="191">
        <v>7.5</v>
      </c>
      <c r="ID19" s="191">
        <v>5</v>
      </c>
      <c r="IE19" s="191">
        <v>12</v>
      </c>
      <c r="IF19" s="191">
        <v>5.5</v>
      </c>
      <c r="IG19" s="410">
        <v>0</v>
      </c>
      <c r="IH19" s="410">
        <v>17.46</v>
      </c>
      <c r="II19" s="410">
        <v>35.700000000000003</v>
      </c>
      <c r="IJ19" s="410">
        <v>1.92</v>
      </c>
      <c r="IK19" s="410">
        <v>13.5</v>
      </c>
      <c r="IL19" s="410">
        <v>3</v>
      </c>
      <c r="IM19" s="410">
        <v>0</v>
      </c>
      <c r="IN19" s="410">
        <v>2.625</v>
      </c>
      <c r="IO19" s="410">
        <v>233.5</v>
      </c>
      <c r="IP19" s="410">
        <v>13</v>
      </c>
      <c r="IQ19" s="410">
        <v>9.8000000000000007</v>
      </c>
      <c r="IR19" s="410">
        <v>5.7</v>
      </c>
      <c r="IS19" s="410">
        <v>0</v>
      </c>
      <c r="IT19" s="410">
        <v>0</v>
      </c>
      <c r="IU19" s="410">
        <v>0</v>
      </c>
      <c r="IV19" s="410">
        <v>0</v>
      </c>
      <c r="IW19" s="410">
        <v>2</v>
      </c>
      <c r="IX19" s="410">
        <v>3.56</v>
      </c>
      <c r="IY19" s="410">
        <v>3.88</v>
      </c>
      <c r="IZ19" s="410">
        <v>0</v>
      </c>
      <c r="JA19" s="410"/>
      <c r="JB19" s="410"/>
      <c r="JC19" s="410"/>
      <c r="JD19" s="410"/>
      <c r="JE19" s="410"/>
      <c r="JF19" s="410"/>
      <c r="JG19" s="410"/>
      <c r="JH19" s="410"/>
      <c r="JI19" s="410"/>
      <c r="JJ19" s="410"/>
      <c r="JK19" s="410">
        <f t="shared" si="24"/>
        <v>2.625</v>
      </c>
      <c r="JL19" s="191">
        <f t="shared" si="25"/>
        <v>3.88</v>
      </c>
      <c r="JM19" s="10"/>
      <c r="JN19" s="10"/>
      <c r="JO19" s="10"/>
      <c r="JP19" s="10"/>
      <c r="JQ19" s="10"/>
      <c r="JR19" s="10"/>
      <c r="JS19" s="10"/>
      <c r="JT19" s="11"/>
      <c r="JU19" s="11"/>
    </row>
    <row r="20" spans="1:281" x14ac:dyDescent="0.25">
      <c r="A20" s="55"/>
      <c r="B20" s="34"/>
      <c r="C20" s="34"/>
      <c r="D20" s="34"/>
      <c r="E20" s="79"/>
      <c r="F20" s="79"/>
      <c r="G20" s="79"/>
      <c r="H20" s="79"/>
      <c r="I20" s="79"/>
      <c r="J20" s="79"/>
      <c r="K20" s="79"/>
      <c r="L20" s="79"/>
      <c r="M20" s="34"/>
      <c r="N20" s="97" t="s">
        <v>27</v>
      </c>
      <c r="O20" s="98" t="s">
        <v>27</v>
      </c>
      <c r="P20" s="92"/>
      <c r="Q20" s="93"/>
      <c r="R20" s="93"/>
      <c r="S20" s="92"/>
      <c r="T20" s="92"/>
      <c r="U20" s="69"/>
      <c r="V20" s="69"/>
      <c r="W20" s="93"/>
      <c r="X20" s="93"/>
      <c r="Y20" s="94"/>
      <c r="Z20" s="93"/>
      <c r="AA20" s="93"/>
      <c r="AB20" s="93"/>
      <c r="AC20" s="94"/>
      <c r="AD20" s="93"/>
      <c r="AE20" s="94"/>
      <c r="AF20" s="93"/>
      <c r="AG20" s="93"/>
      <c r="AH20" s="94"/>
      <c r="AI20" s="94"/>
      <c r="AJ20" s="94"/>
      <c r="AK20" s="94"/>
      <c r="AL20" s="94"/>
      <c r="AM20" s="94"/>
      <c r="AN20" s="95"/>
      <c r="AO20" s="95"/>
      <c r="AP20" s="69"/>
      <c r="AQ20" s="69"/>
      <c r="AR20" s="69"/>
      <c r="AS20" s="69"/>
      <c r="AT20" s="69"/>
      <c r="AU20" s="95"/>
      <c r="AV20" s="69"/>
      <c r="AW20" s="69"/>
      <c r="AX20" s="95"/>
      <c r="AY20" s="93"/>
      <c r="AZ20" s="105"/>
      <c r="BA20" s="105"/>
      <c r="BB20" s="105"/>
      <c r="BC20" s="105"/>
      <c r="BD20" s="105"/>
      <c r="BE20" s="105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333"/>
      <c r="HO20" s="191"/>
      <c r="HP20" s="191"/>
      <c r="HQ20" s="191"/>
      <c r="HR20" s="191"/>
      <c r="HS20" s="333"/>
      <c r="HT20" s="333"/>
      <c r="HU20" s="430"/>
      <c r="HV20" s="375"/>
      <c r="HW20" s="375"/>
      <c r="HX20" s="375"/>
      <c r="HY20" s="375"/>
      <c r="HZ20" s="412"/>
      <c r="IA20" s="392"/>
      <c r="IB20" s="392"/>
      <c r="IC20" s="392"/>
      <c r="ID20" s="392"/>
      <c r="IE20" s="392"/>
      <c r="IF20" s="392"/>
      <c r="IG20" s="436"/>
      <c r="IH20" s="436"/>
      <c r="II20" s="436"/>
      <c r="IJ20" s="436"/>
      <c r="IK20" s="436"/>
      <c r="IL20" s="436"/>
      <c r="IM20" s="436"/>
      <c r="IN20" s="436"/>
      <c r="IO20" s="436"/>
      <c r="IP20" s="436"/>
      <c r="IQ20" s="436"/>
      <c r="IR20" s="436"/>
      <c r="IS20" s="436"/>
      <c r="IT20" s="436"/>
      <c r="IU20" s="436"/>
      <c r="IV20" s="436"/>
      <c r="IW20" s="436"/>
      <c r="IX20" s="436"/>
      <c r="IY20" s="436"/>
      <c r="IZ20" s="436"/>
      <c r="JA20" s="436"/>
      <c r="JB20" s="436"/>
      <c r="JC20" s="436"/>
      <c r="JD20" s="436"/>
      <c r="JE20" s="436"/>
      <c r="JF20" s="436"/>
      <c r="JG20" s="436"/>
      <c r="JH20" s="436"/>
      <c r="JI20" s="436"/>
      <c r="JJ20" s="436"/>
      <c r="JK20" s="410"/>
      <c r="JL20" s="191"/>
      <c r="JM20" s="10"/>
      <c r="JN20" s="10"/>
      <c r="JO20" s="10"/>
      <c r="JP20" s="10"/>
      <c r="JQ20" s="10"/>
      <c r="JR20" s="10"/>
      <c r="JS20" s="10"/>
      <c r="JT20" s="11"/>
      <c r="JU20" s="11"/>
    </row>
    <row r="21" spans="1:281" s="303" customFormat="1" x14ac:dyDescent="0.25">
      <c r="A21" s="218" t="s">
        <v>36</v>
      </c>
      <c r="B21" s="34"/>
      <c r="C21" s="34"/>
      <c r="D21" s="34"/>
      <c r="E21" s="79">
        <f t="shared" ref="E21:Q21" si="26">SUM(E23:E25)</f>
        <v>4781</v>
      </c>
      <c r="F21" s="79">
        <f t="shared" si="26"/>
        <v>4964</v>
      </c>
      <c r="G21" s="79">
        <f t="shared" si="26"/>
        <v>13628</v>
      </c>
      <c r="H21" s="79">
        <f t="shared" si="26"/>
        <v>5140</v>
      </c>
      <c r="I21" s="79">
        <f t="shared" si="26"/>
        <v>9049</v>
      </c>
      <c r="J21" s="79">
        <f t="shared" si="26"/>
        <v>12515</v>
      </c>
      <c r="K21" s="79">
        <f t="shared" si="26"/>
        <v>12114</v>
      </c>
      <c r="L21" s="79">
        <f t="shared" si="26"/>
        <v>9796</v>
      </c>
      <c r="M21" s="79">
        <f t="shared" si="26"/>
        <v>5132</v>
      </c>
      <c r="N21" s="92">
        <f t="shared" si="26"/>
        <v>2515</v>
      </c>
      <c r="O21" s="93">
        <f t="shared" si="26"/>
        <v>3438</v>
      </c>
      <c r="P21" s="92">
        <f t="shared" si="26"/>
        <v>6896</v>
      </c>
      <c r="Q21" s="93">
        <f t="shared" si="26"/>
        <v>10226</v>
      </c>
      <c r="R21" s="93">
        <v>6944.9580000000005</v>
      </c>
      <c r="S21" s="92">
        <f>SUM(S23:S26)</f>
        <v>910</v>
      </c>
      <c r="T21" s="92">
        <f>SUM(T23:T26)</f>
        <v>1275</v>
      </c>
      <c r="U21" s="93">
        <f>SUM(U23:U25)</f>
        <v>191</v>
      </c>
      <c r="V21" s="93">
        <f>SUM(V23:V25)</f>
        <v>393</v>
      </c>
      <c r="W21" s="103" t="s">
        <v>80</v>
      </c>
      <c r="X21" s="107" t="s">
        <v>29</v>
      </c>
      <c r="Y21" s="94">
        <f>SUM(Y23:Y25)</f>
        <v>65</v>
      </c>
      <c r="Z21" s="93">
        <f>SUM(Z23:Z26)</f>
        <v>245</v>
      </c>
      <c r="AA21" s="93">
        <f>SUM(AA23:AA26)</f>
        <v>405</v>
      </c>
      <c r="AB21" s="93">
        <f>SUM(AB24)</f>
        <v>1119</v>
      </c>
      <c r="AC21" s="93">
        <f>SUM(AC24)</f>
        <v>299</v>
      </c>
      <c r="AD21" s="93">
        <f>SUM(AD24)</f>
        <v>2042.9580000000001</v>
      </c>
      <c r="AE21" s="94">
        <f>SUM(AE24)</f>
        <v>6944.9580000000005</v>
      </c>
      <c r="AF21" s="93">
        <v>11862.8</v>
      </c>
      <c r="AG21" s="93">
        <v>2900</v>
      </c>
      <c r="AH21" s="94">
        <v>11234</v>
      </c>
      <c r="AI21" s="94">
        <v>8254</v>
      </c>
      <c r="AJ21" s="94">
        <v>6828</v>
      </c>
      <c r="AK21" s="94">
        <v>6895</v>
      </c>
      <c r="AL21" s="94">
        <v>2610.8310000000001</v>
      </c>
      <c r="AM21" s="94">
        <v>2414.6999999999998</v>
      </c>
      <c r="AN21" s="93">
        <f>SUM(AN23:AN26)</f>
        <v>444.35</v>
      </c>
      <c r="AO21" s="93">
        <f>SUM(AO23:AO26)</f>
        <v>900.55</v>
      </c>
      <c r="AP21" s="101" t="s">
        <v>29</v>
      </c>
      <c r="AQ21" s="101" t="s">
        <v>29</v>
      </c>
      <c r="AR21" s="93">
        <f>SUM(AR23:AR26)</f>
        <v>126.85</v>
      </c>
      <c r="AS21" s="94">
        <f>SUM(AS23:AS26)</f>
        <v>62.7</v>
      </c>
      <c r="AT21" s="101" t="s">
        <v>29</v>
      </c>
      <c r="AU21" s="101" t="s">
        <v>29</v>
      </c>
      <c r="AV21" s="101" t="s">
        <v>29</v>
      </c>
      <c r="AW21" s="94">
        <f>SUM(AW23:AW26)</f>
        <v>133.5</v>
      </c>
      <c r="AX21" s="94">
        <f>SUM(AX23:AX26)</f>
        <v>88</v>
      </c>
      <c r="AY21" s="93">
        <f>SUM(AY23:AY26)</f>
        <v>658.75</v>
      </c>
      <c r="AZ21" s="95">
        <f>SUM(AZ23:AZ26)</f>
        <v>2414.6999999999998</v>
      </c>
      <c r="BA21" s="95">
        <f>SUM(BA23:BA26)</f>
        <v>2236.9349999999999</v>
      </c>
      <c r="BB21" s="95">
        <v>3700.4120000000003</v>
      </c>
      <c r="BC21" s="95">
        <v>2527.7950000000001</v>
      </c>
      <c r="BD21" s="95">
        <v>3567.89</v>
      </c>
      <c r="BE21" s="95">
        <v>2998.4210000000003</v>
      </c>
      <c r="BF21" s="333">
        <v>3256.55</v>
      </c>
      <c r="BG21" s="333">
        <v>1</v>
      </c>
      <c r="BH21" s="333">
        <v>7.4999999999999997E-2</v>
      </c>
      <c r="BI21" s="333">
        <v>0.87600000000000011</v>
      </c>
      <c r="BJ21" s="333">
        <v>0</v>
      </c>
      <c r="BK21" s="333">
        <v>245.49199999999999</v>
      </c>
      <c r="BL21" s="333">
        <v>1561.9780000000001</v>
      </c>
      <c r="BM21" s="333">
        <v>347.15500000000003</v>
      </c>
      <c r="BN21" s="333">
        <v>166.881</v>
      </c>
      <c r="BO21" s="333">
        <v>115.54700000000001</v>
      </c>
      <c r="BP21" s="333">
        <v>2.5</v>
      </c>
      <c r="BQ21" s="333">
        <v>22.856999999999999</v>
      </c>
      <c r="BR21" s="333">
        <v>10.624000000000001</v>
      </c>
      <c r="BS21" s="333">
        <v>5.7</v>
      </c>
      <c r="BT21" s="333">
        <v>90.9</v>
      </c>
      <c r="BU21" s="333">
        <v>14.25</v>
      </c>
      <c r="BV21" s="333">
        <v>5</v>
      </c>
      <c r="BW21" s="333">
        <v>0</v>
      </c>
      <c r="BX21" s="333">
        <v>1.35</v>
      </c>
      <c r="BY21" s="333">
        <v>7.5</v>
      </c>
      <c r="BZ21" s="333">
        <v>5.0999999999999996</v>
      </c>
      <c r="CA21" s="333">
        <v>166.881</v>
      </c>
      <c r="CB21" s="333">
        <f t="shared" ref="CB21:CN21" si="27">SUM(CB23:CB26)</f>
        <v>272.94400000000002</v>
      </c>
      <c r="CC21" s="333">
        <f t="shared" si="27"/>
        <v>949.5</v>
      </c>
      <c r="CD21" s="333">
        <f t="shared" si="27"/>
        <v>286.14999999999998</v>
      </c>
      <c r="CE21" s="333">
        <f t="shared" si="27"/>
        <v>0</v>
      </c>
      <c r="CF21" s="333">
        <f t="shared" si="27"/>
        <v>202.8</v>
      </c>
      <c r="CG21" s="333">
        <f t="shared" si="27"/>
        <v>0</v>
      </c>
      <c r="CH21" s="333">
        <f t="shared" si="27"/>
        <v>15.5</v>
      </c>
      <c r="CI21" s="333">
        <f t="shared" si="27"/>
        <v>0</v>
      </c>
      <c r="CJ21" s="333">
        <f t="shared" si="27"/>
        <v>0</v>
      </c>
      <c r="CK21" s="333">
        <f t="shared" si="27"/>
        <v>0</v>
      </c>
      <c r="CL21" s="333">
        <f t="shared" si="27"/>
        <v>63.15</v>
      </c>
      <c r="CM21" s="333">
        <f t="shared" si="27"/>
        <v>1584.8119999999999</v>
      </c>
      <c r="CN21" s="333">
        <f t="shared" si="27"/>
        <v>598.5</v>
      </c>
      <c r="CO21" s="333">
        <f>SUM(CO24:CO26)</f>
        <v>3700.4120000000003</v>
      </c>
      <c r="CP21" s="333">
        <f t="shared" ref="CP21:DN21" si="28">SUM(CP24:CP26)</f>
        <v>361.15</v>
      </c>
      <c r="CQ21" s="333">
        <f t="shared" si="28"/>
        <v>348.245</v>
      </c>
      <c r="CR21" s="333">
        <f t="shared" si="28"/>
        <v>621.9</v>
      </c>
      <c r="CS21" s="333">
        <f t="shared" si="28"/>
        <v>422.55</v>
      </c>
      <c r="CT21" s="333" t="s">
        <v>29</v>
      </c>
      <c r="CU21" s="333">
        <f t="shared" si="28"/>
        <v>75.2</v>
      </c>
      <c r="CV21" s="333">
        <f t="shared" si="28"/>
        <v>103</v>
      </c>
      <c r="CW21" s="333">
        <f t="shared" si="28"/>
        <v>0</v>
      </c>
      <c r="CX21" s="333">
        <f t="shared" si="28"/>
        <v>82.3</v>
      </c>
      <c r="CY21" s="333">
        <f t="shared" si="28"/>
        <v>66.95</v>
      </c>
      <c r="CZ21" s="333">
        <f t="shared" si="28"/>
        <v>164</v>
      </c>
      <c r="DA21" s="333">
        <f t="shared" si="28"/>
        <v>282.5</v>
      </c>
      <c r="DB21" s="333">
        <f t="shared" si="28"/>
        <v>2527.7950000000001</v>
      </c>
      <c r="DC21" s="333">
        <f t="shared" si="28"/>
        <v>445.55</v>
      </c>
      <c r="DD21" s="333">
        <f t="shared" si="28"/>
        <v>517.6</v>
      </c>
      <c r="DE21" s="333">
        <f t="shared" si="28"/>
        <v>809.75</v>
      </c>
      <c r="DF21" s="333">
        <f t="shared" si="28"/>
        <v>238.25</v>
      </c>
      <c r="DG21" s="333">
        <f t="shared" si="28"/>
        <v>0</v>
      </c>
      <c r="DH21" s="333">
        <f t="shared" si="28"/>
        <v>0</v>
      </c>
      <c r="DI21" s="333">
        <f t="shared" si="28"/>
        <v>473.74</v>
      </c>
      <c r="DJ21" s="333">
        <f t="shared" si="28"/>
        <v>65.5</v>
      </c>
      <c r="DK21" s="333">
        <f t="shared" si="28"/>
        <v>549.95000000000005</v>
      </c>
      <c r="DL21" s="333">
        <f t="shared" si="28"/>
        <v>80</v>
      </c>
      <c r="DM21" s="333">
        <f t="shared" si="28"/>
        <v>386.95</v>
      </c>
      <c r="DN21" s="333">
        <f t="shared" si="28"/>
        <v>0.6</v>
      </c>
      <c r="DO21" s="333">
        <f>SUM(DC21:DN21)</f>
        <v>3567.89</v>
      </c>
      <c r="DP21" s="333">
        <f t="shared" ref="DP21:EA21" si="29">SUM(DP24:DP26)</f>
        <v>0</v>
      </c>
      <c r="DQ21" s="333">
        <f t="shared" si="29"/>
        <v>662.35</v>
      </c>
      <c r="DR21" s="333">
        <f t="shared" si="29"/>
        <v>475.6</v>
      </c>
      <c r="DS21" s="333">
        <f t="shared" si="29"/>
        <v>32</v>
      </c>
      <c r="DT21" s="333">
        <f t="shared" si="29"/>
        <v>0</v>
      </c>
      <c r="DU21" s="333">
        <f t="shared" si="29"/>
        <v>0</v>
      </c>
      <c r="DV21" s="333">
        <f t="shared" si="29"/>
        <v>0</v>
      </c>
      <c r="DW21" s="333">
        <f t="shared" si="29"/>
        <v>550.75</v>
      </c>
      <c r="DX21" s="333">
        <f t="shared" si="29"/>
        <v>1244.05</v>
      </c>
      <c r="DY21" s="333">
        <f t="shared" si="29"/>
        <v>30.9</v>
      </c>
      <c r="DZ21" s="333">
        <f t="shared" si="29"/>
        <v>2.7709999999999999</v>
      </c>
      <c r="EA21" s="333">
        <f t="shared" si="29"/>
        <v>0</v>
      </c>
      <c r="EB21" s="333">
        <f t="shared" ref="EB21:EK21" si="30">SUM(EB24:EB26)</f>
        <v>2998.4210000000003</v>
      </c>
      <c r="EC21" s="333">
        <f t="shared" si="30"/>
        <v>1375.6</v>
      </c>
      <c r="ED21" s="333">
        <f t="shared" si="30"/>
        <v>495.15</v>
      </c>
      <c r="EE21" s="333">
        <f t="shared" si="30"/>
        <v>1098.3</v>
      </c>
      <c r="EF21" s="333">
        <v>0</v>
      </c>
      <c r="EG21" s="333">
        <f t="shared" si="30"/>
        <v>0</v>
      </c>
      <c r="EH21" s="333">
        <f t="shared" si="30"/>
        <v>0</v>
      </c>
      <c r="EI21" s="333">
        <f t="shared" si="30"/>
        <v>0</v>
      </c>
      <c r="EJ21" s="333">
        <f t="shared" si="30"/>
        <v>0</v>
      </c>
      <c r="EK21" s="333">
        <f t="shared" si="30"/>
        <v>287.5</v>
      </c>
      <c r="EL21" s="333">
        <f>SUM(EL24:EL26)</f>
        <v>0</v>
      </c>
      <c r="EM21" s="333">
        <f>SUM(EM24:EM26)</f>
        <v>0</v>
      </c>
      <c r="EN21" s="333">
        <f>SUM(EN24:EN26)</f>
        <v>0</v>
      </c>
      <c r="EO21" s="333">
        <f>SUM(EO24:EO26)</f>
        <v>3256.55</v>
      </c>
      <c r="EP21" s="333">
        <f t="shared" ref="EP21:GH21" si="31">SUM(EP24:EP26)</f>
        <v>0</v>
      </c>
      <c r="EQ21" s="333">
        <f t="shared" si="31"/>
        <v>0</v>
      </c>
      <c r="ER21" s="333">
        <f t="shared" si="31"/>
        <v>0</v>
      </c>
      <c r="ES21" s="333">
        <f t="shared" si="31"/>
        <v>0</v>
      </c>
      <c r="ET21" s="333">
        <f t="shared" si="31"/>
        <v>0</v>
      </c>
      <c r="EU21" s="333">
        <f t="shared" si="31"/>
        <v>0</v>
      </c>
      <c r="EV21" s="333">
        <f t="shared" si="31"/>
        <v>0</v>
      </c>
      <c r="EW21" s="333">
        <f t="shared" si="31"/>
        <v>0</v>
      </c>
      <c r="EX21" s="333">
        <f t="shared" si="31"/>
        <v>1</v>
      </c>
      <c r="EY21" s="333">
        <f t="shared" si="31"/>
        <v>0</v>
      </c>
      <c r="EZ21" s="333">
        <f t="shared" si="31"/>
        <v>0</v>
      </c>
      <c r="FA21" s="333">
        <f t="shared" si="31"/>
        <v>0</v>
      </c>
      <c r="FB21" s="333">
        <f t="shared" si="31"/>
        <v>1</v>
      </c>
      <c r="FC21" s="333">
        <f t="shared" si="31"/>
        <v>0</v>
      </c>
      <c r="FD21" s="333">
        <f t="shared" si="31"/>
        <v>0</v>
      </c>
      <c r="FE21" s="333">
        <f t="shared" si="31"/>
        <v>0</v>
      </c>
      <c r="FF21" s="333">
        <f t="shared" si="31"/>
        <v>0</v>
      </c>
      <c r="FG21" s="333">
        <f t="shared" si="31"/>
        <v>0</v>
      </c>
      <c r="FH21" s="333">
        <f t="shared" si="31"/>
        <v>0</v>
      </c>
      <c r="FI21" s="333">
        <f t="shared" si="31"/>
        <v>0</v>
      </c>
      <c r="FJ21" s="333">
        <f t="shared" si="31"/>
        <v>0</v>
      </c>
      <c r="FK21" s="333">
        <f t="shared" si="31"/>
        <v>0</v>
      </c>
      <c r="FL21" s="333">
        <f t="shared" si="31"/>
        <v>0</v>
      </c>
      <c r="FM21" s="333">
        <f t="shared" si="31"/>
        <v>7.4999999999999997E-2</v>
      </c>
      <c r="FN21" s="333">
        <f t="shared" si="31"/>
        <v>0</v>
      </c>
      <c r="FO21" s="333">
        <f t="shared" ref="FO21:GA21" si="32">SUM(FO24:FO26)</f>
        <v>7.4999999999999997E-2</v>
      </c>
      <c r="FP21" s="333">
        <f t="shared" si="32"/>
        <v>0</v>
      </c>
      <c r="FQ21" s="333">
        <f t="shared" si="32"/>
        <v>0</v>
      </c>
      <c r="FR21" s="333">
        <f t="shared" si="32"/>
        <v>0.54700000000000004</v>
      </c>
      <c r="FS21" s="333">
        <f t="shared" si="32"/>
        <v>0</v>
      </c>
      <c r="FT21" s="333">
        <f t="shared" si="32"/>
        <v>0</v>
      </c>
      <c r="FU21" s="333">
        <f t="shared" si="32"/>
        <v>0</v>
      </c>
      <c r="FV21" s="333">
        <f t="shared" si="32"/>
        <v>0</v>
      </c>
      <c r="FW21" s="333">
        <f t="shared" si="32"/>
        <v>0</v>
      </c>
      <c r="FX21" s="333">
        <f t="shared" si="32"/>
        <v>0</v>
      </c>
      <c r="FY21" s="333">
        <f t="shared" si="32"/>
        <v>0</v>
      </c>
      <c r="FZ21" s="333">
        <f t="shared" si="32"/>
        <v>0</v>
      </c>
      <c r="GA21" s="333">
        <f t="shared" si="32"/>
        <v>0</v>
      </c>
      <c r="GB21" s="333">
        <f t="shared" si="31"/>
        <v>0.54700000000000004</v>
      </c>
      <c r="GC21" s="333">
        <f t="shared" si="31"/>
        <v>0</v>
      </c>
      <c r="GD21" s="333">
        <f t="shared" si="31"/>
        <v>0</v>
      </c>
      <c r="GE21" s="333">
        <f t="shared" si="31"/>
        <v>0</v>
      </c>
      <c r="GF21" s="333">
        <f t="shared" si="31"/>
        <v>0</v>
      </c>
      <c r="GG21" s="333">
        <f t="shared" si="31"/>
        <v>0</v>
      </c>
      <c r="GH21" s="333">
        <f t="shared" si="31"/>
        <v>0</v>
      </c>
      <c r="GI21" s="333">
        <f t="shared" ref="GI21:GN21" si="33">GI23+GI24+GI25</f>
        <v>0</v>
      </c>
      <c r="GJ21" s="333">
        <f t="shared" si="33"/>
        <v>0</v>
      </c>
      <c r="GK21" s="333">
        <f t="shared" si="33"/>
        <v>0</v>
      </c>
      <c r="GL21" s="333">
        <f t="shared" si="33"/>
        <v>0</v>
      </c>
      <c r="GM21" s="333">
        <f t="shared" si="33"/>
        <v>0</v>
      </c>
      <c r="GN21" s="333">
        <f t="shared" si="33"/>
        <v>0</v>
      </c>
      <c r="GO21" s="333">
        <f>GO23+GO24+GO25</f>
        <v>0</v>
      </c>
      <c r="GP21" s="333">
        <f>SUM(GP24:GP26)</f>
        <v>0</v>
      </c>
      <c r="GQ21" s="333">
        <f>SUM(GQ24:GQ26)</f>
        <v>0</v>
      </c>
      <c r="GR21" s="333">
        <f>SUM(GR23:GR24)</f>
        <v>14.206</v>
      </c>
      <c r="GS21" s="333">
        <f t="shared" ref="GS21:HA21" si="34">SUM(GS23:GS24)</f>
        <v>5.03</v>
      </c>
      <c r="GT21" s="333">
        <f t="shared" si="34"/>
        <v>7.75</v>
      </c>
      <c r="GU21" s="333">
        <f t="shared" si="34"/>
        <v>10.756</v>
      </c>
      <c r="GV21" s="333">
        <f t="shared" si="34"/>
        <v>26.765000000000001</v>
      </c>
      <c r="GW21" s="333">
        <f t="shared" si="34"/>
        <v>67.515000000000001</v>
      </c>
      <c r="GX21" s="333">
        <f t="shared" si="34"/>
        <v>2.9049999999999998</v>
      </c>
      <c r="GY21" s="333">
        <f t="shared" si="34"/>
        <v>31.439</v>
      </c>
      <c r="GZ21" s="333">
        <f t="shared" si="34"/>
        <v>19.495999999999999</v>
      </c>
      <c r="HA21" s="333">
        <f t="shared" si="34"/>
        <v>59.63</v>
      </c>
      <c r="HB21" s="333">
        <f t="shared" ref="HB21:HO21" si="35">SUM(HB23:HB24)</f>
        <v>31.580000000000002</v>
      </c>
      <c r="HC21" s="333">
        <f t="shared" si="35"/>
        <v>528.90000000000009</v>
      </c>
      <c r="HD21" s="333">
        <f t="shared" si="35"/>
        <v>19.954000000000001</v>
      </c>
      <c r="HE21" s="333">
        <f t="shared" si="35"/>
        <v>10.175000000000001</v>
      </c>
      <c r="HF21" s="333">
        <f t="shared" si="35"/>
        <v>29.76</v>
      </c>
      <c r="HG21" s="333">
        <f t="shared" si="35"/>
        <v>3.22</v>
      </c>
      <c r="HH21" s="333">
        <f t="shared" si="35"/>
        <v>4.5999999999999996</v>
      </c>
      <c r="HI21" s="333">
        <f t="shared" si="35"/>
        <v>831.95499999999993</v>
      </c>
      <c r="HJ21" s="333">
        <f t="shared" si="35"/>
        <v>46.677999999999997</v>
      </c>
      <c r="HK21" s="333">
        <f t="shared" si="35"/>
        <v>27.87</v>
      </c>
      <c r="HL21" s="333">
        <f t="shared" si="35"/>
        <v>10.26</v>
      </c>
      <c r="HM21" s="333">
        <f t="shared" si="35"/>
        <v>17.026</v>
      </c>
      <c r="HN21" s="333">
        <f>SUM(HB21:HM21)</f>
        <v>1561.9780000000001</v>
      </c>
      <c r="HO21" s="333">
        <f t="shared" si="35"/>
        <v>28.85</v>
      </c>
      <c r="HP21" s="333">
        <f>SUM(HP23:HP24)</f>
        <v>57.963999999999999</v>
      </c>
      <c r="HQ21" s="333">
        <f>SUM(HQ23:HQ24)</f>
        <v>58.752000000000002</v>
      </c>
      <c r="HR21" s="333">
        <f>SUM(HR23:HR24)</f>
        <v>9</v>
      </c>
      <c r="HS21" s="333">
        <f>SUM(HS23:HS24)</f>
        <v>25.061</v>
      </c>
      <c r="HT21" s="333">
        <f>SUM(HT23:HT25)</f>
        <v>33.509</v>
      </c>
      <c r="HU21" s="408">
        <f t="shared" ref="HU21:HZ21" si="36">HU23+HU24+HU25</f>
        <v>25.32</v>
      </c>
      <c r="HV21" s="333">
        <f t="shared" si="36"/>
        <v>27.550999999999998</v>
      </c>
      <c r="HW21" s="333">
        <f t="shared" si="36"/>
        <v>60.760000000000005</v>
      </c>
      <c r="HX21" s="333">
        <f t="shared" si="36"/>
        <v>3</v>
      </c>
      <c r="HY21" s="394">
        <f t="shared" si="36"/>
        <v>6.7279999999999998</v>
      </c>
      <c r="HZ21" s="413">
        <f t="shared" si="36"/>
        <v>10.66</v>
      </c>
      <c r="IA21" s="333">
        <v>1.1000000000000001</v>
      </c>
      <c r="IB21" s="333">
        <f t="shared" ref="IB21:II21" si="37">IB23+IB24+IB25</f>
        <v>2.5</v>
      </c>
      <c r="IC21" s="333">
        <f t="shared" si="37"/>
        <v>22.856999999999999</v>
      </c>
      <c r="ID21" s="333">
        <f t="shared" si="37"/>
        <v>10.624000000000001</v>
      </c>
      <c r="IE21" s="333">
        <f t="shared" si="37"/>
        <v>5.7</v>
      </c>
      <c r="IF21" s="333">
        <f t="shared" si="37"/>
        <v>90.9</v>
      </c>
      <c r="IG21" s="408">
        <f t="shared" si="37"/>
        <v>14.25</v>
      </c>
      <c r="IH21" s="333">
        <f t="shared" si="37"/>
        <v>5</v>
      </c>
      <c r="II21" s="333">
        <f t="shared" si="37"/>
        <v>0</v>
      </c>
      <c r="IJ21" s="408">
        <f t="shared" ref="IJ21:IT21" si="38">IJ23+IJ24+IJ25</f>
        <v>1.35</v>
      </c>
      <c r="IK21" s="408">
        <f t="shared" si="38"/>
        <v>7.5</v>
      </c>
      <c r="IL21" s="408">
        <f t="shared" si="38"/>
        <v>5.0999999999999996</v>
      </c>
      <c r="IM21" s="408">
        <f t="shared" si="38"/>
        <v>5.25</v>
      </c>
      <c r="IN21" s="408">
        <f t="shared" si="38"/>
        <v>7.65</v>
      </c>
      <c r="IO21" s="408">
        <f t="shared" si="38"/>
        <v>5.03</v>
      </c>
      <c r="IP21" s="408">
        <f t="shared" si="38"/>
        <v>3.59</v>
      </c>
      <c r="IQ21" s="408">
        <f t="shared" si="38"/>
        <v>4.6340000000000003</v>
      </c>
      <c r="IR21" s="408">
        <f t="shared" si="38"/>
        <v>6.48</v>
      </c>
      <c r="IS21" s="408">
        <f t="shared" si="38"/>
        <v>1</v>
      </c>
      <c r="IT21" s="408">
        <f t="shared" si="38"/>
        <v>7.0890000000000004</v>
      </c>
      <c r="IU21" s="408">
        <f>IU23+IU24+IU25</f>
        <v>20.67</v>
      </c>
      <c r="IV21" s="408">
        <f>IV23+IV24+IV25</f>
        <v>37.51</v>
      </c>
      <c r="IW21" s="408">
        <f>IW23+IW24+IW25</f>
        <v>16.643999999999998</v>
      </c>
      <c r="IX21" s="408">
        <f>IX23+IX24+IX25</f>
        <v>0</v>
      </c>
      <c r="IY21" s="408">
        <f>IY23+IY24+IY25</f>
        <v>73.424999999999997</v>
      </c>
      <c r="IZ21" s="408">
        <f>IZ23+IZ24+IZ25</f>
        <v>15.34</v>
      </c>
      <c r="JA21" s="408"/>
      <c r="JB21" s="408"/>
      <c r="JC21" s="408"/>
      <c r="JD21" s="408"/>
      <c r="JE21" s="408"/>
      <c r="JF21" s="408"/>
      <c r="JG21" s="408"/>
      <c r="JH21" s="408"/>
      <c r="JI21" s="408"/>
      <c r="JJ21" s="408"/>
      <c r="JK21" s="408">
        <f>+JK23+JK24+JK25</f>
        <v>12.9</v>
      </c>
      <c r="JL21" s="408">
        <f>+JL23+JL24+JL25</f>
        <v>88.765000000000001</v>
      </c>
      <c r="JM21" s="305"/>
      <c r="JN21" s="305"/>
      <c r="JO21" s="305"/>
      <c r="JP21" s="305"/>
      <c r="JQ21" s="305"/>
      <c r="JR21" s="305"/>
      <c r="JS21" s="305"/>
      <c r="JT21" s="304"/>
      <c r="JU21" s="306"/>
    </row>
    <row r="22" spans="1:281" x14ac:dyDescent="0.25">
      <c r="A22" s="55"/>
      <c r="B22" s="34"/>
      <c r="C22" s="34"/>
      <c r="D22" s="34"/>
      <c r="E22" s="79"/>
      <c r="F22" s="79"/>
      <c r="G22" s="79"/>
      <c r="H22" s="79"/>
      <c r="I22" s="79"/>
      <c r="J22" s="79"/>
      <c r="K22" s="79"/>
      <c r="L22" s="79"/>
      <c r="M22" s="112" t="s">
        <v>27</v>
      </c>
      <c r="N22" s="97" t="s">
        <v>27</v>
      </c>
      <c r="O22" s="98" t="s">
        <v>27</v>
      </c>
      <c r="P22" s="92"/>
      <c r="Q22" s="93"/>
      <c r="R22" s="93"/>
      <c r="S22" s="92"/>
      <c r="T22" s="92"/>
      <c r="U22" s="69"/>
      <c r="V22" s="69"/>
      <c r="W22" s="93"/>
      <c r="X22" s="93"/>
      <c r="Y22" s="94"/>
      <c r="Z22" s="93"/>
      <c r="AA22" s="93"/>
      <c r="AB22" s="93"/>
      <c r="AC22" s="94"/>
      <c r="AD22" s="93"/>
      <c r="AE22" s="94"/>
      <c r="AF22" s="93"/>
      <c r="AG22" s="93"/>
      <c r="AH22" s="94"/>
      <c r="AI22" s="94"/>
      <c r="AJ22" s="94"/>
      <c r="AK22" s="94"/>
      <c r="AL22" s="94"/>
      <c r="AM22" s="94"/>
      <c r="AN22" s="95"/>
      <c r="AO22" s="95"/>
      <c r="AP22" s="69"/>
      <c r="AQ22" s="69"/>
      <c r="AR22" s="69"/>
      <c r="AS22" s="69"/>
      <c r="AT22" s="69"/>
      <c r="AU22" s="108"/>
      <c r="AV22" s="69"/>
      <c r="AW22" s="69"/>
      <c r="AX22" s="95"/>
      <c r="AY22" s="93"/>
      <c r="AZ22" s="105"/>
      <c r="BA22" s="105"/>
      <c r="BB22" s="105"/>
      <c r="BC22" s="105"/>
      <c r="BD22" s="105"/>
      <c r="BE22" s="105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333"/>
      <c r="HO22" s="191"/>
      <c r="HP22" s="191"/>
      <c r="HQ22" s="191"/>
      <c r="HR22" s="191"/>
      <c r="HS22" s="333"/>
      <c r="HT22" s="333"/>
      <c r="HU22" s="408"/>
      <c r="HV22" s="375"/>
      <c r="HW22" s="375"/>
      <c r="HX22" s="375"/>
      <c r="HY22" s="375"/>
      <c r="HZ22" s="412"/>
      <c r="IA22" s="391"/>
      <c r="IB22" s="391"/>
      <c r="IC22" s="391"/>
      <c r="ID22" s="391"/>
      <c r="IE22" s="391"/>
      <c r="IF22" s="391"/>
      <c r="IG22" s="437"/>
      <c r="IH22" s="437"/>
      <c r="II22" s="437"/>
      <c r="IJ22" s="437"/>
      <c r="IK22" s="437"/>
      <c r="IL22" s="437"/>
      <c r="IM22" s="437"/>
      <c r="IN22" s="437"/>
      <c r="IO22" s="437"/>
      <c r="IP22" s="437"/>
      <c r="IQ22" s="437"/>
      <c r="IR22" s="437"/>
      <c r="IS22" s="437"/>
      <c r="IT22" s="437"/>
      <c r="IU22" s="437"/>
      <c r="IV22" s="437"/>
      <c r="IW22" s="437"/>
      <c r="IX22" s="437"/>
      <c r="IY22" s="437"/>
      <c r="IZ22" s="437"/>
      <c r="JA22" s="437"/>
      <c r="JB22" s="437"/>
      <c r="JC22" s="437"/>
      <c r="JD22" s="437"/>
      <c r="JE22" s="437"/>
      <c r="JF22" s="437"/>
      <c r="JG22" s="437"/>
      <c r="JH22" s="437"/>
      <c r="JI22" s="437"/>
      <c r="JJ22" s="437"/>
      <c r="JK22" s="410"/>
      <c r="JL22" s="437"/>
      <c r="JM22" s="9"/>
      <c r="JN22" s="9"/>
      <c r="JO22" s="9"/>
      <c r="JP22" s="11"/>
      <c r="JQ22" s="9"/>
      <c r="JR22" s="9"/>
      <c r="JS22" s="9"/>
      <c r="JT22" s="9"/>
      <c r="JU22" s="9"/>
    </row>
    <row r="23" spans="1:281" x14ac:dyDescent="0.25">
      <c r="A23" s="91" t="s">
        <v>37</v>
      </c>
      <c r="B23" s="34"/>
      <c r="C23" s="34"/>
      <c r="D23" s="34"/>
      <c r="E23" s="79">
        <v>928</v>
      </c>
      <c r="F23" s="79">
        <v>975</v>
      </c>
      <c r="G23" s="79">
        <v>1386</v>
      </c>
      <c r="H23" s="79">
        <v>744</v>
      </c>
      <c r="I23" s="79">
        <v>825</v>
      </c>
      <c r="J23" s="79">
        <v>57</v>
      </c>
      <c r="K23" s="79">
        <v>79</v>
      </c>
      <c r="L23" s="79">
        <v>90</v>
      </c>
      <c r="M23" s="79">
        <v>20</v>
      </c>
      <c r="N23" s="102" t="s">
        <v>29</v>
      </c>
      <c r="O23" s="101" t="s">
        <v>29</v>
      </c>
      <c r="P23" s="102" t="s">
        <v>29</v>
      </c>
      <c r="Q23" s="101" t="s">
        <v>29</v>
      </c>
      <c r="R23" s="104" t="s">
        <v>29</v>
      </c>
      <c r="S23" s="102" t="s">
        <v>29</v>
      </c>
      <c r="T23" s="102" t="s">
        <v>29</v>
      </c>
      <c r="U23" s="101" t="s">
        <v>29</v>
      </c>
      <c r="V23" s="101" t="s">
        <v>29</v>
      </c>
      <c r="W23" s="104" t="s">
        <v>29</v>
      </c>
      <c r="X23" s="104" t="s">
        <v>29</v>
      </c>
      <c r="Y23" s="111" t="s">
        <v>29</v>
      </c>
      <c r="Z23" s="104" t="s">
        <v>29</v>
      </c>
      <c r="AA23" s="113"/>
      <c r="AB23" s="113" t="s">
        <v>29</v>
      </c>
      <c r="AC23" s="111" t="s">
        <v>29</v>
      </c>
      <c r="AD23" s="104" t="s">
        <v>29</v>
      </c>
      <c r="AE23" s="94">
        <f>SUM(S23:Z23)</f>
        <v>0</v>
      </c>
      <c r="AF23" s="93">
        <v>0</v>
      </c>
      <c r="AG23" s="93"/>
      <c r="AH23" s="94"/>
      <c r="AI23" s="94"/>
      <c r="AJ23" s="94"/>
      <c r="AK23" s="94"/>
      <c r="AL23" s="94"/>
      <c r="AM23" s="94"/>
      <c r="AN23" s="95"/>
      <c r="AO23" s="95"/>
      <c r="AP23" s="69"/>
      <c r="AQ23" s="95"/>
      <c r="AR23" s="69"/>
      <c r="AS23" s="69"/>
      <c r="AT23" s="69"/>
      <c r="AU23" s="108"/>
      <c r="AV23" s="37"/>
      <c r="AW23" s="37"/>
      <c r="AX23" s="95"/>
      <c r="AY23" s="93"/>
      <c r="AZ23" s="105"/>
      <c r="BA23" s="105"/>
      <c r="BB23" s="105">
        <v>0</v>
      </c>
      <c r="BC23" s="105"/>
      <c r="BD23" s="105"/>
      <c r="BE23" s="105"/>
      <c r="BF23" s="191"/>
      <c r="BG23" s="191"/>
      <c r="BH23" s="356">
        <v>0</v>
      </c>
      <c r="BI23" s="356">
        <v>0</v>
      </c>
      <c r="BJ23" s="356">
        <v>0</v>
      </c>
      <c r="BK23" s="191">
        <v>175.33799999999999</v>
      </c>
      <c r="BL23" s="191">
        <v>196.56799999999998</v>
      </c>
      <c r="BM23" s="191">
        <v>270.84100000000001</v>
      </c>
      <c r="BN23" s="191">
        <v>59.718000000000011</v>
      </c>
      <c r="BO23" s="191">
        <v>114.84700000000001</v>
      </c>
      <c r="BP23" s="191">
        <v>2.5</v>
      </c>
      <c r="BQ23" s="191">
        <v>22.856999999999999</v>
      </c>
      <c r="BR23" s="191">
        <v>10.624000000000001</v>
      </c>
      <c r="BS23" s="191">
        <v>5.7</v>
      </c>
      <c r="BT23" s="191">
        <v>0.7</v>
      </c>
      <c r="BU23" s="191">
        <v>0.28699999999999998</v>
      </c>
      <c r="BV23" s="191">
        <v>2</v>
      </c>
      <c r="BW23" s="191">
        <v>0</v>
      </c>
      <c r="BX23" s="191">
        <v>1.35</v>
      </c>
      <c r="BY23" s="191">
        <v>7.5</v>
      </c>
      <c r="BZ23" s="191">
        <v>5.0999999999999996</v>
      </c>
      <c r="CA23" s="191">
        <v>59.718000000000011</v>
      </c>
      <c r="CB23" s="191">
        <f>SUM(BP23:BZ23)</f>
        <v>58.618000000000009</v>
      </c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>
        <f>SUM(CC23:CF23)</f>
        <v>0</v>
      </c>
      <c r="CP23" s="191"/>
      <c r="CQ23" s="191"/>
      <c r="CR23" s="191"/>
      <c r="CS23" s="191"/>
      <c r="CT23" s="191" t="s">
        <v>29</v>
      </c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 t="s">
        <v>29</v>
      </c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>
        <v>0</v>
      </c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>
        <v>0</v>
      </c>
      <c r="GC23" s="191">
        <v>0</v>
      </c>
      <c r="GD23" s="191">
        <v>0</v>
      </c>
      <c r="GE23" s="191">
        <v>0</v>
      </c>
      <c r="GF23" s="191">
        <v>0</v>
      </c>
      <c r="GG23" s="191">
        <v>0</v>
      </c>
      <c r="GH23" s="191">
        <v>0</v>
      </c>
      <c r="GI23" s="191">
        <v>0</v>
      </c>
      <c r="GJ23" s="191">
        <v>0</v>
      </c>
      <c r="GK23" s="191">
        <v>0</v>
      </c>
      <c r="GL23" s="191">
        <v>0</v>
      </c>
      <c r="GM23" s="191">
        <v>0</v>
      </c>
      <c r="GN23" s="191">
        <v>0</v>
      </c>
      <c r="GO23" s="191">
        <f>SUM(GC23:GN23)</f>
        <v>0</v>
      </c>
      <c r="GP23" s="191">
        <v>0</v>
      </c>
      <c r="GQ23" s="191">
        <v>0</v>
      </c>
      <c r="GR23" s="191">
        <v>14.206</v>
      </c>
      <c r="GS23" s="191">
        <v>5.03</v>
      </c>
      <c r="GT23" s="191">
        <v>6.85</v>
      </c>
      <c r="GU23" s="191">
        <v>6.75</v>
      </c>
      <c r="GV23" s="191">
        <v>22.965</v>
      </c>
      <c r="GW23" s="191">
        <v>67.515000000000001</v>
      </c>
      <c r="GX23" s="191">
        <v>2.65</v>
      </c>
      <c r="GY23" s="191">
        <v>2.976</v>
      </c>
      <c r="GZ23" s="191">
        <v>16.366</v>
      </c>
      <c r="HA23" s="191">
        <v>30.03</v>
      </c>
      <c r="HB23" s="191">
        <v>31.48</v>
      </c>
      <c r="HC23" s="191">
        <v>1.7</v>
      </c>
      <c r="HD23" s="191">
        <v>9.6039999999999992</v>
      </c>
      <c r="HE23" s="191">
        <v>7.4</v>
      </c>
      <c r="HF23" s="191">
        <v>29.76</v>
      </c>
      <c r="HG23" s="191">
        <v>3.22</v>
      </c>
      <c r="HH23" s="191">
        <v>4.5999999999999996</v>
      </c>
      <c r="HI23" s="191">
        <v>7.17</v>
      </c>
      <c r="HJ23" s="191">
        <v>46.677999999999997</v>
      </c>
      <c r="HK23" s="191">
        <v>27.87</v>
      </c>
      <c r="HL23" s="191">
        <v>10.26</v>
      </c>
      <c r="HM23" s="191">
        <v>16.826000000000001</v>
      </c>
      <c r="HN23" s="191">
        <f>SUM(HB23:HM23)</f>
        <v>196.56799999999998</v>
      </c>
      <c r="HO23" s="191">
        <v>28.85</v>
      </c>
      <c r="HP23" s="191">
        <v>18.350000000000001</v>
      </c>
      <c r="HQ23" s="191">
        <v>58.752000000000002</v>
      </c>
      <c r="HR23" s="191">
        <v>7.5</v>
      </c>
      <c r="HS23" s="191">
        <v>24.861000000000001</v>
      </c>
      <c r="HT23" s="191">
        <v>33.509</v>
      </c>
      <c r="HU23" s="410">
        <v>25.32</v>
      </c>
      <c r="HV23" s="376">
        <v>24.550999999999998</v>
      </c>
      <c r="HW23" s="389">
        <v>30.76</v>
      </c>
      <c r="HX23" s="191">
        <v>3</v>
      </c>
      <c r="HY23" s="191">
        <v>4.7279999999999998</v>
      </c>
      <c r="HZ23" s="410">
        <v>10.66</v>
      </c>
      <c r="IA23" s="191">
        <v>1.1000000000000001</v>
      </c>
      <c r="IB23" s="191">
        <v>2.5</v>
      </c>
      <c r="IC23" s="191">
        <v>22.856999999999999</v>
      </c>
      <c r="ID23" s="191">
        <v>10.624000000000001</v>
      </c>
      <c r="IE23" s="191">
        <v>5.7</v>
      </c>
      <c r="IF23" s="191">
        <v>0.7</v>
      </c>
      <c r="IG23" s="410">
        <v>0.28699999999999998</v>
      </c>
      <c r="IH23" s="410">
        <v>2</v>
      </c>
      <c r="II23" s="410">
        <v>0</v>
      </c>
      <c r="IJ23" s="410">
        <v>1.35</v>
      </c>
      <c r="IK23" s="410">
        <v>7.5</v>
      </c>
      <c r="IL23" s="410">
        <v>5.0999999999999996</v>
      </c>
      <c r="IM23" s="410">
        <v>5.25</v>
      </c>
      <c r="IN23" s="410">
        <v>7.65</v>
      </c>
      <c r="IO23" s="410">
        <v>5.03</v>
      </c>
      <c r="IP23" s="410">
        <v>2.89</v>
      </c>
      <c r="IQ23" s="410">
        <v>4.6340000000000003</v>
      </c>
      <c r="IR23" s="410">
        <v>6.48</v>
      </c>
      <c r="IS23" s="410">
        <v>1</v>
      </c>
      <c r="IT23" s="410">
        <v>7.0890000000000004</v>
      </c>
      <c r="IU23" s="410">
        <v>20.67</v>
      </c>
      <c r="IV23" s="410">
        <v>37.51</v>
      </c>
      <c r="IW23" s="410">
        <v>16.643999999999998</v>
      </c>
      <c r="IX23" s="410">
        <v>0</v>
      </c>
      <c r="IY23" s="410">
        <v>73.424999999999997</v>
      </c>
      <c r="IZ23" s="410">
        <v>15.34</v>
      </c>
      <c r="JA23" s="410"/>
      <c r="JB23" s="410"/>
      <c r="JC23" s="410"/>
      <c r="JD23" s="410"/>
      <c r="JE23" s="410"/>
      <c r="JF23" s="410"/>
      <c r="JG23" s="410"/>
      <c r="JH23" s="410"/>
      <c r="JI23" s="410"/>
      <c r="JJ23" s="410"/>
      <c r="JK23" s="410">
        <f>+IM23+IN23</f>
        <v>12.9</v>
      </c>
      <c r="JL23" s="410">
        <f>+IY23+IZ23</f>
        <v>88.765000000000001</v>
      </c>
      <c r="JM23" s="10"/>
      <c r="JN23" s="10"/>
      <c r="JO23" s="10"/>
      <c r="JP23" s="21"/>
      <c r="JQ23" s="10"/>
      <c r="JR23" s="10"/>
      <c r="JS23" s="10"/>
      <c r="JT23" s="9"/>
      <c r="JU23" s="11"/>
    </row>
    <row r="24" spans="1:281" x14ac:dyDescent="0.25">
      <c r="A24" s="91" t="s">
        <v>38</v>
      </c>
      <c r="B24" s="34"/>
      <c r="C24" s="34"/>
      <c r="D24" s="34"/>
      <c r="E24" s="79">
        <v>3749</v>
      </c>
      <c r="F24" s="79">
        <v>3787</v>
      </c>
      <c r="G24" s="79">
        <v>12109</v>
      </c>
      <c r="H24" s="79">
        <v>4160</v>
      </c>
      <c r="I24" s="79">
        <v>8110</v>
      </c>
      <c r="J24" s="79">
        <v>12297</v>
      </c>
      <c r="K24" s="79">
        <v>11810</v>
      </c>
      <c r="L24" s="79">
        <v>9690</v>
      </c>
      <c r="M24" s="79">
        <v>5094</v>
      </c>
      <c r="N24" s="92">
        <v>2515</v>
      </c>
      <c r="O24" s="93">
        <v>3438</v>
      </c>
      <c r="P24" s="92">
        <v>6896</v>
      </c>
      <c r="Q24" s="93">
        <v>10226</v>
      </c>
      <c r="R24" s="93">
        <v>6944.9580000000005</v>
      </c>
      <c r="S24" s="92">
        <v>910</v>
      </c>
      <c r="T24" s="92">
        <v>1275</v>
      </c>
      <c r="U24" s="69">
        <v>191</v>
      </c>
      <c r="V24" s="69">
        <v>393</v>
      </c>
      <c r="W24" s="103" t="s">
        <v>80</v>
      </c>
      <c r="X24" s="107" t="s">
        <v>29</v>
      </c>
      <c r="Y24" s="94">
        <v>65</v>
      </c>
      <c r="Z24" s="93">
        <v>245</v>
      </c>
      <c r="AA24" s="93">
        <v>405</v>
      </c>
      <c r="AB24" s="93">
        <v>1119</v>
      </c>
      <c r="AC24" s="94">
        <v>299</v>
      </c>
      <c r="AD24" s="93">
        <v>2042.9580000000001</v>
      </c>
      <c r="AE24" s="94">
        <f>SUM(S24:AD24)</f>
        <v>6944.9580000000005</v>
      </c>
      <c r="AF24" s="93">
        <v>11862.8</v>
      </c>
      <c r="AG24" s="93">
        <v>2900</v>
      </c>
      <c r="AH24" s="94">
        <v>11234</v>
      </c>
      <c r="AI24" s="94">
        <v>8254</v>
      </c>
      <c r="AJ24" s="94">
        <v>6828</v>
      </c>
      <c r="AK24" s="94">
        <v>6895</v>
      </c>
      <c r="AL24" s="94">
        <v>2610.8310000000001</v>
      </c>
      <c r="AM24" s="94">
        <v>2414.6999999999998</v>
      </c>
      <c r="AN24" s="101">
        <v>444.35</v>
      </c>
      <c r="AO24" s="101">
        <v>900.55</v>
      </c>
      <c r="AP24" s="101" t="s">
        <v>29</v>
      </c>
      <c r="AQ24" s="101" t="s">
        <v>29</v>
      </c>
      <c r="AR24" s="101">
        <v>126.85</v>
      </c>
      <c r="AS24" s="69">
        <v>62.7</v>
      </c>
      <c r="AT24" s="101" t="s">
        <v>29</v>
      </c>
      <c r="AU24" s="101" t="s">
        <v>29</v>
      </c>
      <c r="AV24" s="101" t="s">
        <v>29</v>
      </c>
      <c r="AW24" s="69">
        <v>133.5</v>
      </c>
      <c r="AX24" s="69">
        <v>88</v>
      </c>
      <c r="AY24" s="101">
        <v>658.75</v>
      </c>
      <c r="AZ24" s="69">
        <f>SUM(AN24:AY24)</f>
        <v>2414.6999999999998</v>
      </c>
      <c r="BA24" s="69">
        <v>2236.9349999999999</v>
      </c>
      <c r="BB24" s="69">
        <v>3700.4120000000003</v>
      </c>
      <c r="BC24" s="69">
        <v>2527.7950000000001</v>
      </c>
      <c r="BD24" s="69">
        <v>3567.89</v>
      </c>
      <c r="BE24" s="69">
        <v>2998.4210000000003</v>
      </c>
      <c r="BF24" s="191">
        <v>3256.55</v>
      </c>
      <c r="BG24" s="191">
        <v>1</v>
      </c>
      <c r="BH24" s="191">
        <v>7.4999999999999997E-2</v>
      </c>
      <c r="BI24" s="191">
        <v>0.87600000000000011</v>
      </c>
      <c r="BJ24" s="191">
        <v>0</v>
      </c>
      <c r="BK24" s="191">
        <v>70.153999999999996</v>
      </c>
      <c r="BL24" s="191">
        <v>1365.41</v>
      </c>
      <c r="BM24" s="191">
        <v>76.313999999999993</v>
      </c>
      <c r="BN24" s="191">
        <v>107.163</v>
      </c>
      <c r="BO24" s="191">
        <v>0.7</v>
      </c>
      <c r="BP24" s="191">
        <v>0</v>
      </c>
      <c r="BQ24" s="191">
        <v>0</v>
      </c>
      <c r="BR24" s="191">
        <v>0</v>
      </c>
      <c r="BS24" s="191">
        <v>0</v>
      </c>
      <c r="BT24" s="191">
        <v>90.2</v>
      </c>
      <c r="BU24" s="191">
        <v>13.962999999999999</v>
      </c>
      <c r="BV24" s="191">
        <v>3</v>
      </c>
      <c r="BW24" s="191">
        <v>0</v>
      </c>
      <c r="BX24" s="191">
        <v>0</v>
      </c>
      <c r="BY24" s="191">
        <v>0</v>
      </c>
      <c r="BZ24" s="191">
        <v>0</v>
      </c>
      <c r="CA24" s="191">
        <v>107.163</v>
      </c>
      <c r="CB24" s="191">
        <f>SUM(BP24:CA24)</f>
        <v>214.32599999999999</v>
      </c>
      <c r="CC24" s="191">
        <v>949.5</v>
      </c>
      <c r="CD24" s="191">
        <v>286.14999999999998</v>
      </c>
      <c r="CE24" s="191" t="s">
        <v>29</v>
      </c>
      <c r="CF24" s="191">
        <f>59.95+142.85</f>
        <v>202.8</v>
      </c>
      <c r="CG24" s="191"/>
      <c r="CH24" s="191">
        <v>15.5</v>
      </c>
      <c r="CI24" s="191"/>
      <c r="CJ24" s="191" t="s">
        <v>29</v>
      </c>
      <c r="CK24" s="191" t="s">
        <v>29</v>
      </c>
      <c r="CL24" s="191">
        <v>63.15</v>
      </c>
      <c r="CM24" s="191">
        <v>1584.8119999999999</v>
      </c>
      <c r="CN24" s="191">
        <v>598.5</v>
      </c>
      <c r="CO24" s="191">
        <f>SUM(CC24:CN24)</f>
        <v>3700.4120000000003</v>
      </c>
      <c r="CP24" s="191">
        <v>361.15</v>
      </c>
      <c r="CQ24" s="191">
        <v>348.245</v>
      </c>
      <c r="CR24" s="191">
        <v>621.9</v>
      </c>
      <c r="CS24" s="191">
        <v>422.55</v>
      </c>
      <c r="CT24" s="191" t="s">
        <v>29</v>
      </c>
      <c r="CU24" s="191">
        <v>75.2</v>
      </c>
      <c r="CV24" s="191">
        <v>103</v>
      </c>
      <c r="CW24" s="191">
        <v>0</v>
      </c>
      <c r="CX24" s="191">
        <v>82.3</v>
      </c>
      <c r="CY24" s="191">
        <v>66.95</v>
      </c>
      <c r="CZ24" s="191">
        <v>164</v>
      </c>
      <c r="DA24" s="191">
        <v>282.5</v>
      </c>
      <c r="DB24" s="191">
        <f>SUM(CP24:DA24)</f>
        <v>2527.7950000000001</v>
      </c>
      <c r="DC24" s="191">
        <v>445.55</v>
      </c>
      <c r="DD24" s="191">
        <v>517.6</v>
      </c>
      <c r="DE24" s="191">
        <v>809.75</v>
      </c>
      <c r="DF24" s="191">
        <v>238.25</v>
      </c>
      <c r="DG24" s="191" t="s">
        <v>29</v>
      </c>
      <c r="DH24" s="191" t="s">
        <v>29</v>
      </c>
      <c r="DI24" s="191">
        <v>473.74</v>
      </c>
      <c r="DJ24" s="191">
        <v>65.5</v>
      </c>
      <c r="DK24" s="191">
        <v>549.95000000000005</v>
      </c>
      <c r="DL24" s="191">
        <v>80</v>
      </c>
      <c r="DM24" s="191">
        <v>386.95</v>
      </c>
      <c r="DN24" s="191">
        <v>0.6</v>
      </c>
      <c r="DO24" s="191">
        <f>SUM(DC24:DN24)</f>
        <v>3567.89</v>
      </c>
      <c r="DP24" s="191" t="s">
        <v>29</v>
      </c>
      <c r="DQ24" s="191">
        <v>662.35</v>
      </c>
      <c r="DR24" s="191">
        <v>475.6</v>
      </c>
      <c r="DS24" s="191">
        <v>32</v>
      </c>
      <c r="DT24" s="191">
        <v>0</v>
      </c>
      <c r="DU24" s="191" t="s">
        <v>29</v>
      </c>
      <c r="DV24" s="191" t="s">
        <v>29</v>
      </c>
      <c r="DW24" s="191">
        <v>550.75</v>
      </c>
      <c r="DX24" s="191">
        <v>1244.05</v>
      </c>
      <c r="DY24" s="191">
        <v>30.9</v>
      </c>
      <c r="DZ24" s="191">
        <v>2.7709999999999999</v>
      </c>
      <c r="EA24" s="191" t="s">
        <v>29</v>
      </c>
      <c r="EB24" s="191">
        <f>SUM(DP24:EA24)</f>
        <v>2998.4210000000003</v>
      </c>
      <c r="EC24" s="191">
        <v>1375.6</v>
      </c>
      <c r="ED24" s="191">
        <v>495.15</v>
      </c>
      <c r="EE24" s="191">
        <v>1098.3</v>
      </c>
      <c r="EF24" s="191">
        <v>0</v>
      </c>
      <c r="EG24" s="191">
        <v>0</v>
      </c>
      <c r="EH24" s="191">
        <v>0</v>
      </c>
      <c r="EI24" s="191" t="s">
        <v>29</v>
      </c>
      <c r="EJ24" s="191" t="s">
        <v>29</v>
      </c>
      <c r="EK24" s="191">
        <v>287.5</v>
      </c>
      <c r="EL24" s="191">
        <v>0</v>
      </c>
      <c r="EM24" s="191">
        <v>0</v>
      </c>
      <c r="EN24" s="191">
        <v>0</v>
      </c>
      <c r="EO24" s="191">
        <f>SUM(EC24:EN24)</f>
        <v>3256.55</v>
      </c>
      <c r="EP24" s="191">
        <v>0</v>
      </c>
      <c r="EQ24" s="191">
        <v>0</v>
      </c>
      <c r="ER24" s="191">
        <v>0</v>
      </c>
      <c r="ES24" s="191">
        <v>0</v>
      </c>
      <c r="ET24" s="191">
        <v>0</v>
      </c>
      <c r="EU24" s="191">
        <v>0</v>
      </c>
      <c r="EV24" s="191">
        <v>0</v>
      </c>
      <c r="EW24" s="191">
        <v>0</v>
      </c>
      <c r="EX24" s="191">
        <v>1</v>
      </c>
      <c r="EY24" s="191">
        <v>0</v>
      </c>
      <c r="EZ24" s="191">
        <v>0</v>
      </c>
      <c r="FA24" s="191">
        <v>0</v>
      </c>
      <c r="FB24" s="191">
        <f>SUM(EP24:FA24)</f>
        <v>1</v>
      </c>
      <c r="FC24" s="191">
        <v>0</v>
      </c>
      <c r="FD24" s="191">
        <v>0</v>
      </c>
      <c r="FE24" s="191">
        <v>0</v>
      </c>
      <c r="FF24" s="191">
        <v>0</v>
      </c>
      <c r="FG24" s="191">
        <v>0</v>
      </c>
      <c r="FH24" s="191">
        <v>0</v>
      </c>
      <c r="FI24" s="191">
        <v>0</v>
      </c>
      <c r="FJ24" s="191">
        <v>0</v>
      </c>
      <c r="FK24" s="191">
        <v>0</v>
      </c>
      <c r="FL24" s="191">
        <v>0</v>
      </c>
      <c r="FM24" s="191">
        <v>7.4999999999999997E-2</v>
      </c>
      <c r="FN24" s="191">
        <v>0</v>
      </c>
      <c r="FO24" s="191">
        <f>SUM(FC24:FN24)</f>
        <v>7.4999999999999997E-2</v>
      </c>
      <c r="FP24" s="191">
        <v>0</v>
      </c>
      <c r="FQ24" s="191">
        <v>0</v>
      </c>
      <c r="FR24" s="191">
        <v>0.54700000000000004</v>
      </c>
      <c r="FS24" s="191">
        <v>0</v>
      </c>
      <c r="FT24" s="191">
        <v>0</v>
      </c>
      <c r="FU24" s="191">
        <v>0</v>
      </c>
      <c r="FV24" s="191">
        <v>0</v>
      </c>
      <c r="FW24" s="191">
        <v>0</v>
      </c>
      <c r="FX24" s="191">
        <v>0</v>
      </c>
      <c r="FY24" s="191">
        <v>0</v>
      </c>
      <c r="FZ24" s="191">
        <v>0</v>
      </c>
      <c r="GA24" s="191">
        <v>0</v>
      </c>
      <c r="GB24" s="191">
        <f>SUM(FP24:GA24)</f>
        <v>0.54700000000000004</v>
      </c>
      <c r="GC24" s="191">
        <v>0</v>
      </c>
      <c r="GD24" s="191">
        <v>0</v>
      </c>
      <c r="GE24" s="191">
        <v>0</v>
      </c>
      <c r="GF24" s="191">
        <v>0</v>
      </c>
      <c r="GG24" s="191">
        <v>0</v>
      </c>
      <c r="GH24" s="191">
        <v>0</v>
      </c>
      <c r="GI24" s="191">
        <v>0</v>
      </c>
      <c r="GJ24" s="191">
        <v>0</v>
      </c>
      <c r="GK24" s="191">
        <v>0</v>
      </c>
      <c r="GL24" s="191">
        <v>0</v>
      </c>
      <c r="GM24" s="191">
        <v>0</v>
      </c>
      <c r="GN24" s="191">
        <v>0</v>
      </c>
      <c r="GO24" s="191">
        <f>SUM(GC24:GN24)</f>
        <v>0</v>
      </c>
      <c r="GP24" s="191">
        <v>0</v>
      </c>
      <c r="GQ24" s="191">
        <v>0</v>
      </c>
      <c r="GR24" s="191">
        <v>0</v>
      </c>
      <c r="GS24" s="191">
        <v>0</v>
      </c>
      <c r="GT24" s="191">
        <v>0.9</v>
      </c>
      <c r="GU24" s="191">
        <v>4.0060000000000002</v>
      </c>
      <c r="GV24" s="191">
        <v>3.8</v>
      </c>
      <c r="GW24" s="191">
        <v>0</v>
      </c>
      <c r="GX24" s="191">
        <v>0.255</v>
      </c>
      <c r="GY24" s="191">
        <v>28.463000000000001</v>
      </c>
      <c r="GZ24" s="191">
        <v>3.13</v>
      </c>
      <c r="HA24" s="191">
        <f>29.6+0</f>
        <v>29.6</v>
      </c>
      <c r="HB24" s="191">
        <v>0.1</v>
      </c>
      <c r="HC24" s="191">
        <f>14.2+513</f>
        <v>527.20000000000005</v>
      </c>
      <c r="HD24" s="191">
        <v>10.35</v>
      </c>
      <c r="HE24" s="191">
        <v>2.7749999999999999</v>
      </c>
      <c r="HF24" s="373"/>
      <c r="HG24" s="373"/>
      <c r="HH24" s="373"/>
      <c r="HI24" s="191">
        <v>824.78499999999997</v>
      </c>
      <c r="HJ24" s="191"/>
      <c r="HK24" s="191"/>
      <c r="HL24" s="191"/>
      <c r="HM24" s="191">
        <v>0.2</v>
      </c>
      <c r="HN24" s="191">
        <f>SUM(HB24:HM24)</f>
        <v>1365.41</v>
      </c>
      <c r="HO24" s="191">
        <v>0</v>
      </c>
      <c r="HP24" s="191">
        <v>39.613999999999997</v>
      </c>
      <c r="HQ24" s="191">
        <v>0</v>
      </c>
      <c r="HR24" s="191">
        <v>1.5</v>
      </c>
      <c r="HS24" s="191">
        <v>0.2</v>
      </c>
      <c r="HT24" s="191">
        <v>0</v>
      </c>
      <c r="HU24" s="410">
        <v>0</v>
      </c>
      <c r="HV24" s="376">
        <v>3</v>
      </c>
      <c r="HW24" s="389">
        <v>30</v>
      </c>
      <c r="HX24" s="356">
        <v>0</v>
      </c>
      <c r="HY24" s="356">
        <v>2</v>
      </c>
      <c r="HZ24" s="414">
        <v>0</v>
      </c>
      <c r="IA24" s="191">
        <v>0</v>
      </c>
      <c r="IB24" s="191">
        <v>0</v>
      </c>
      <c r="IC24" s="191">
        <v>0</v>
      </c>
      <c r="ID24" s="191">
        <v>0</v>
      </c>
      <c r="IE24" s="191">
        <v>0</v>
      </c>
      <c r="IF24" s="191">
        <v>90.2</v>
      </c>
      <c r="IG24" s="410">
        <v>13.962999999999999</v>
      </c>
      <c r="IH24" s="410">
        <v>3</v>
      </c>
      <c r="II24" s="410">
        <v>0</v>
      </c>
      <c r="IJ24" s="410">
        <v>0</v>
      </c>
      <c r="IK24" s="410">
        <v>0</v>
      </c>
      <c r="IL24" s="410">
        <v>0</v>
      </c>
      <c r="IM24" s="410">
        <v>0</v>
      </c>
      <c r="IN24" s="410">
        <v>0</v>
      </c>
      <c r="IO24" s="410">
        <v>0</v>
      </c>
      <c r="IP24" s="410">
        <v>0.7</v>
      </c>
      <c r="IQ24" s="410">
        <v>0</v>
      </c>
      <c r="IR24" s="410">
        <v>0</v>
      </c>
      <c r="IS24" s="410">
        <v>0</v>
      </c>
      <c r="IT24" s="410">
        <v>0</v>
      </c>
      <c r="IU24" s="410">
        <v>0</v>
      </c>
      <c r="IV24" s="410">
        <v>0</v>
      </c>
      <c r="IW24" s="410">
        <v>0</v>
      </c>
      <c r="IX24" s="410">
        <v>0</v>
      </c>
      <c r="IY24" s="410">
        <v>0</v>
      </c>
      <c r="IZ24" s="410">
        <v>0</v>
      </c>
      <c r="JA24" s="410"/>
      <c r="JB24" s="410"/>
      <c r="JC24" s="410"/>
      <c r="JD24" s="410"/>
      <c r="JE24" s="410"/>
      <c r="JF24" s="410"/>
      <c r="JG24" s="410"/>
      <c r="JH24" s="410"/>
      <c r="JI24" s="410"/>
      <c r="JJ24" s="410"/>
      <c r="JK24" s="410">
        <f t="shared" ref="JK24:JK25" si="39">+IM24+IN24</f>
        <v>0</v>
      </c>
      <c r="JL24" s="410">
        <f t="shared" ref="JL24:JL25" si="40">+IY24+IZ24</f>
        <v>0</v>
      </c>
      <c r="JM24" s="10"/>
      <c r="JN24" s="10"/>
      <c r="JO24" s="10"/>
      <c r="JP24" s="21"/>
      <c r="JQ24" s="10"/>
      <c r="JR24" s="10"/>
      <c r="JS24" s="10"/>
      <c r="JT24" s="9"/>
      <c r="JU24" s="11"/>
    </row>
    <row r="25" spans="1:281" x14ac:dyDescent="0.25">
      <c r="A25" s="91" t="s">
        <v>39</v>
      </c>
      <c r="B25" s="34"/>
      <c r="C25" s="34"/>
      <c r="D25" s="34"/>
      <c r="E25" s="79">
        <v>104</v>
      </c>
      <c r="F25" s="79">
        <v>202</v>
      </c>
      <c r="G25" s="79">
        <v>133</v>
      </c>
      <c r="H25" s="79">
        <v>236</v>
      </c>
      <c r="I25" s="79">
        <v>114</v>
      </c>
      <c r="J25" s="79">
        <v>161</v>
      </c>
      <c r="K25" s="79">
        <v>225</v>
      </c>
      <c r="L25" s="79">
        <v>16</v>
      </c>
      <c r="M25" s="79">
        <v>18</v>
      </c>
      <c r="N25" s="102" t="s">
        <v>29</v>
      </c>
      <c r="O25" s="101" t="s">
        <v>29</v>
      </c>
      <c r="P25" s="102" t="s">
        <v>29</v>
      </c>
      <c r="Q25" s="101" t="s">
        <v>29</v>
      </c>
      <c r="R25" s="104" t="s">
        <v>29</v>
      </c>
      <c r="S25" s="113" t="s">
        <v>29</v>
      </c>
      <c r="T25" s="113" t="s">
        <v>29</v>
      </c>
      <c r="U25" s="104" t="s">
        <v>29</v>
      </c>
      <c r="V25" s="104" t="s">
        <v>29</v>
      </c>
      <c r="W25" s="104" t="s">
        <v>29</v>
      </c>
      <c r="X25" s="104" t="s">
        <v>29</v>
      </c>
      <c r="Y25" s="111" t="s">
        <v>29</v>
      </c>
      <c r="Z25" s="104" t="s">
        <v>29</v>
      </c>
      <c r="AA25" s="113"/>
      <c r="AB25" s="113" t="s">
        <v>29</v>
      </c>
      <c r="AC25" s="111" t="s">
        <v>29</v>
      </c>
      <c r="AD25" s="104" t="s">
        <v>29</v>
      </c>
      <c r="AE25" s="94">
        <f>SUM(S25:Z25)</f>
        <v>0</v>
      </c>
      <c r="AF25" s="93">
        <v>0</v>
      </c>
      <c r="AG25" s="93"/>
      <c r="AH25" s="94"/>
      <c r="AI25" s="94"/>
      <c r="AJ25" s="94"/>
      <c r="AK25" s="94"/>
      <c r="AL25" s="94"/>
      <c r="AM25" s="94"/>
      <c r="AN25" s="105"/>
      <c r="AO25" s="95"/>
      <c r="AP25" s="69"/>
      <c r="AQ25" s="95"/>
      <c r="AR25" s="69"/>
      <c r="AS25" s="69"/>
      <c r="AT25" s="69"/>
      <c r="AU25" s="37"/>
      <c r="AV25" s="37"/>
      <c r="AW25" s="37"/>
      <c r="AX25" s="95"/>
      <c r="AY25" s="93"/>
      <c r="AZ25" s="105"/>
      <c r="BA25" s="105">
        <v>0</v>
      </c>
      <c r="BB25" s="105">
        <v>0</v>
      </c>
      <c r="BC25" s="105"/>
      <c r="BD25" s="105"/>
      <c r="BE25" s="105"/>
      <c r="BF25" s="191"/>
      <c r="BG25" s="191"/>
      <c r="BH25" s="191">
        <v>0</v>
      </c>
      <c r="BI25" s="191">
        <v>0</v>
      </c>
      <c r="BJ25" s="191">
        <v>0</v>
      </c>
      <c r="BK25" s="191">
        <v>0</v>
      </c>
      <c r="BL25" s="191">
        <v>0</v>
      </c>
      <c r="BM25" s="191">
        <v>0</v>
      </c>
      <c r="BN25" s="191">
        <v>0</v>
      </c>
      <c r="BO25" s="191">
        <v>0</v>
      </c>
      <c r="BP25" s="191">
        <v>0</v>
      </c>
      <c r="BQ25" s="191">
        <v>0</v>
      </c>
      <c r="BR25" s="191">
        <v>0</v>
      </c>
      <c r="BS25" s="191">
        <v>0</v>
      </c>
      <c r="BT25" s="191">
        <v>0</v>
      </c>
      <c r="BU25" s="191">
        <v>0</v>
      </c>
      <c r="BV25" s="191">
        <v>0</v>
      </c>
      <c r="BW25" s="191"/>
      <c r="BX25" s="191">
        <v>0</v>
      </c>
      <c r="BY25" s="191">
        <v>0</v>
      </c>
      <c r="BZ25" s="191">
        <v>0</v>
      </c>
      <c r="CA25" s="191">
        <v>0</v>
      </c>
      <c r="CB25" s="191">
        <f>SUM(BP25:CA25)</f>
        <v>0</v>
      </c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>
        <f>SUM(CC25:CF25)</f>
        <v>0</v>
      </c>
      <c r="CP25" s="191"/>
      <c r="CQ25" s="191"/>
      <c r="CR25" s="191"/>
      <c r="CS25" s="191"/>
      <c r="CT25" s="191" t="s">
        <v>29</v>
      </c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>
        <v>0</v>
      </c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>
        <v>0</v>
      </c>
      <c r="GB25" s="191">
        <v>0</v>
      </c>
      <c r="GC25" s="191">
        <v>0</v>
      </c>
      <c r="GD25" s="191">
        <v>0</v>
      </c>
      <c r="GE25" s="191">
        <v>0</v>
      </c>
      <c r="GF25" s="191">
        <v>0</v>
      </c>
      <c r="GG25" s="191">
        <v>0</v>
      </c>
      <c r="GH25" s="191">
        <v>0</v>
      </c>
      <c r="GI25" s="191">
        <v>0</v>
      </c>
      <c r="GJ25" s="191"/>
      <c r="GK25" s="191"/>
      <c r="GL25" s="191"/>
      <c r="GM25" s="191"/>
      <c r="GN25" s="191"/>
      <c r="GO25" s="191"/>
      <c r="GP25" s="191"/>
      <c r="GQ25" s="191"/>
      <c r="GR25" s="191"/>
      <c r="GS25" s="191"/>
      <c r="GT25" s="191"/>
      <c r="GU25" s="191"/>
      <c r="GV25" s="191"/>
      <c r="GW25" s="191"/>
      <c r="GX25" s="191"/>
      <c r="GY25" s="191"/>
      <c r="GZ25" s="191"/>
      <c r="HA25" s="191"/>
      <c r="HB25" s="191"/>
      <c r="HC25" s="191"/>
      <c r="HD25" s="191"/>
      <c r="HE25" s="191"/>
      <c r="HF25" s="191"/>
      <c r="HG25" s="191"/>
      <c r="HH25" s="191"/>
      <c r="HI25" s="191">
        <v>0</v>
      </c>
      <c r="HJ25" s="191"/>
      <c r="HK25" s="191"/>
      <c r="HL25" s="191"/>
      <c r="HM25" s="191"/>
      <c r="HN25" s="191">
        <f>SUM(HB25:HL25)</f>
        <v>0</v>
      </c>
      <c r="HO25" s="191">
        <v>0</v>
      </c>
      <c r="HP25" s="191">
        <v>0</v>
      </c>
      <c r="HQ25" s="191">
        <v>0</v>
      </c>
      <c r="HR25" s="191">
        <v>0</v>
      </c>
      <c r="HS25" s="191">
        <v>0</v>
      </c>
      <c r="HT25" s="191">
        <v>0</v>
      </c>
      <c r="HU25" s="410">
        <v>0</v>
      </c>
      <c r="HV25" s="191">
        <v>0</v>
      </c>
      <c r="HW25" s="356">
        <v>0</v>
      </c>
      <c r="HX25" s="356">
        <v>0</v>
      </c>
      <c r="HY25" s="356">
        <v>0</v>
      </c>
      <c r="HZ25" s="414">
        <v>0</v>
      </c>
      <c r="IA25" s="191">
        <v>0</v>
      </c>
      <c r="IB25" s="191">
        <v>0</v>
      </c>
      <c r="IC25" s="191">
        <v>0</v>
      </c>
      <c r="ID25" s="191">
        <v>0</v>
      </c>
      <c r="IE25" s="191">
        <v>0</v>
      </c>
      <c r="IF25" s="191">
        <v>0</v>
      </c>
      <c r="IG25" s="410">
        <v>0</v>
      </c>
      <c r="IH25" s="410">
        <v>0</v>
      </c>
      <c r="II25" s="410"/>
      <c r="IJ25" s="410">
        <v>0</v>
      </c>
      <c r="IK25" s="410">
        <v>0</v>
      </c>
      <c r="IL25" s="410">
        <v>0</v>
      </c>
      <c r="IM25" s="410">
        <v>0</v>
      </c>
      <c r="IN25" s="410">
        <v>0</v>
      </c>
      <c r="IO25" s="410">
        <v>0</v>
      </c>
      <c r="IP25" s="410">
        <v>0</v>
      </c>
      <c r="IQ25" s="410">
        <v>0</v>
      </c>
      <c r="IR25" s="410">
        <v>0</v>
      </c>
      <c r="IS25" s="410">
        <v>0</v>
      </c>
      <c r="IT25" s="410">
        <v>0</v>
      </c>
      <c r="IU25" s="410">
        <v>0</v>
      </c>
      <c r="IV25" s="410">
        <v>0</v>
      </c>
      <c r="IW25" s="410">
        <v>0</v>
      </c>
      <c r="IX25" s="410">
        <v>0</v>
      </c>
      <c r="IY25" s="410">
        <v>0</v>
      </c>
      <c r="IZ25" s="410">
        <v>0</v>
      </c>
      <c r="JA25" s="410"/>
      <c r="JB25" s="410"/>
      <c r="JC25" s="410"/>
      <c r="JD25" s="410"/>
      <c r="JE25" s="410"/>
      <c r="JF25" s="410"/>
      <c r="JG25" s="410"/>
      <c r="JH25" s="410"/>
      <c r="JI25" s="410"/>
      <c r="JJ25" s="410"/>
      <c r="JK25" s="410">
        <f t="shared" si="39"/>
        <v>0</v>
      </c>
      <c r="JL25" s="410">
        <f t="shared" si="40"/>
        <v>0</v>
      </c>
      <c r="JM25" s="10"/>
      <c r="JN25" s="10"/>
      <c r="JO25" s="10"/>
      <c r="JP25" s="11"/>
      <c r="JQ25" s="10"/>
      <c r="JR25" s="10"/>
      <c r="JS25" s="10"/>
      <c r="JT25" s="11"/>
      <c r="JU25" s="11"/>
    </row>
    <row r="26" spans="1:281" x14ac:dyDescent="0.25">
      <c r="A26" s="55"/>
      <c r="B26" s="34"/>
      <c r="C26" s="34"/>
      <c r="D26" s="34"/>
      <c r="E26" s="79"/>
      <c r="F26" s="79"/>
      <c r="G26" s="79"/>
      <c r="H26" s="79"/>
      <c r="I26" s="79"/>
      <c r="J26" s="79"/>
      <c r="K26" s="79"/>
      <c r="L26" s="79"/>
      <c r="M26" s="112" t="s">
        <v>27</v>
      </c>
      <c r="N26" s="97" t="s">
        <v>27</v>
      </c>
      <c r="O26" s="98" t="s">
        <v>27</v>
      </c>
      <c r="P26" s="92"/>
      <c r="Q26" s="93"/>
      <c r="R26" s="93"/>
      <c r="S26" s="92"/>
      <c r="T26" s="92"/>
      <c r="U26" s="69"/>
      <c r="V26" s="69"/>
      <c r="W26" s="93"/>
      <c r="X26" s="93"/>
      <c r="Y26" s="94"/>
      <c r="Z26" s="93"/>
      <c r="AA26" s="93"/>
      <c r="AB26" s="93"/>
      <c r="AC26" s="94"/>
      <c r="AD26" s="93"/>
      <c r="AE26" s="94"/>
      <c r="AF26" s="93"/>
      <c r="AG26" s="93"/>
      <c r="AH26" s="94"/>
      <c r="AI26" s="94"/>
      <c r="AJ26" s="94"/>
      <c r="AK26" s="94"/>
      <c r="AL26" s="94"/>
      <c r="AM26" s="94"/>
      <c r="AN26" s="105"/>
      <c r="AO26" s="95"/>
      <c r="AP26" s="93"/>
      <c r="AQ26" s="95"/>
      <c r="AR26" s="69"/>
      <c r="AS26" s="69"/>
      <c r="AT26" s="69"/>
      <c r="AU26" s="95"/>
      <c r="AV26" s="69"/>
      <c r="AW26" s="69"/>
      <c r="AX26" s="95"/>
      <c r="AY26" s="93"/>
      <c r="AZ26" s="105"/>
      <c r="BA26" s="105"/>
      <c r="BB26" s="105"/>
      <c r="BC26" s="105"/>
      <c r="BD26" s="105"/>
      <c r="BE26" s="105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  <c r="GR26" s="191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1"/>
      <c r="HE26" s="191"/>
      <c r="HF26" s="191"/>
      <c r="HG26" s="191"/>
      <c r="HH26" s="191"/>
      <c r="HI26" s="191"/>
      <c r="HJ26" s="191"/>
      <c r="HK26" s="191"/>
      <c r="HL26" s="191"/>
      <c r="HM26" s="191"/>
      <c r="HN26" s="191"/>
      <c r="HO26" s="191"/>
      <c r="HP26" s="191"/>
      <c r="HQ26" s="191"/>
      <c r="HR26" s="191"/>
      <c r="HS26" s="191"/>
      <c r="HT26" s="191"/>
      <c r="HU26" s="410"/>
      <c r="HV26" s="376"/>
      <c r="HW26" s="376"/>
      <c r="HX26" s="376"/>
      <c r="HY26" s="376"/>
      <c r="HZ26" s="409"/>
      <c r="IA26" s="392"/>
      <c r="IB26" s="392"/>
      <c r="IC26" s="392"/>
      <c r="ID26" s="392"/>
      <c r="IE26" s="392"/>
      <c r="IF26" s="392"/>
      <c r="IG26" s="436"/>
      <c r="IH26" s="436"/>
      <c r="II26" s="436"/>
      <c r="IJ26" s="436"/>
      <c r="IK26" s="436"/>
      <c r="IL26" s="436"/>
      <c r="IM26" s="436"/>
      <c r="IN26" s="436"/>
      <c r="IO26" s="436"/>
      <c r="IP26" s="436"/>
      <c r="IQ26" s="436"/>
      <c r="IR26" s="436"/>
      <c r="IS26" s="436"/>
      <c r="IT26" s="436"/>
      <c r="IU26" s="436"/>
      <c r="IV26" s="436"/>
      <c r="IW26" s="436"/>
      <c r="IX26" s="436"/>
      <c r="IY26" s="436"/>
      <c r="IZ26" s="436"/>
      <c r="JA26" s="436"/>
      <c r="JB26" s="436"/>
      <c r="JC26" s="436"/>
      <c r="JD26" s="436"/>
      <c r="JE26" s="436"/>
      <c r="JF26" s="436"/>
      <c r="JG26" s="436"/>
      <c r="JH26" s="436"/>
      <c r="JI26" s="436"/>
      <c r="JJ26" s="436"/>
      <c r="JK26" s="408"/>
      <c r="JL26" s="436"/>
      <c r="JM26" s="10"/>
      <c r="JN26" s="10"/>
      <c r="JO26" s="10"/>
      <c r="JP26" s="10"/>
      <c r="JQ26" s="10"/>
      <c r="JR26" s="10"/>
      <c r="JS26" s="10"/>
      <c r="JT26" s="9"/>
      <c r="JU26" s="11"/>
    </row>
    <row r="27" spans="1:281" s="303" customFormat="1" x14ac:dyDescent="0.25">
      <c r="A27" s="218" t="s">
        <v>40</v>
      </c>
      <c r="B27" s="34"/>
      <c r="C27" s="34"/>
      <c r="D27" s="34"/>
      <c r="E27" s="79">
        <f t="shared" ref="E27:Q27" si="41">SUM(E29:E32)</f>
        <v>5313</v>
      </c>
      <c r="F27" s="79">
        <f t="shared" si="41"/>
        <v>3334</v>
      </c>
      <c r="G27" s="79">
        <f t="shared" si="41"/>
        <v>9655</v>
      </c>
      <c r="H27" s="79">
        <f t="shared" si="41"/>
        <v>9622</v>
      </c>
      <c r="I27" s="79">
        <f t="shared" si="41"/>
        <v>12600</v>
      </c>
      <c r="J27" s="79">
        <f t="shared" si="41"/>
        <v>37547</v>
      </c>
      <c r="K27" s="79">
        <f t="shared" si="41"/>
        <v>48036</v>
      </c>
      <c r="L27" s="79">
        <f t="shared" si="41"/>
        <v>34880</v>
      </c>
      <c r="M27" s="79">
        <f t="shared" si="41"/>
        <v>28910</v>
      </c>
      <c r="N27" s="92">
        <f t="shared" si="41"/>
        <v>17553</v>
      </c>
      <c r="O27" s="93">
        <f t="shared" si="41"/>
        <v>8119</v>
      </c>
      <c r="P27" s="92">
        <f t="shared" si="41"/>
        <v>3276</v>
      </c>
      <c r="Q27" s="93">
        <f t="shared" si="41"/>
        <v>20434</v>
      </c>
      <c r="R27" s="93">
        <v>15166.777</v>
      </c>
      <c r="S27" s="92">
        <f t="shared" ref="S27:AE27" si="42">SUM(S29:S32)</f>
        <v>977</v>
      </c>
      <c r="T27" s="92">
        <f t="shared" si="42"/>
        <v>1686</v>
      </c>
      <c r="U27" s="93">
        <f t="shared" si="42"/>
        <v>1447</v>
      </c>
      <c r="V27" s="93">
        <f t="shared" si="42"/>
        <v>2359</v>
      </c>
      <c r="W27" s="93">
        <f t="shared" si="42"/>
        <v>2622</v>
      </c>
      <c r="X27" s="93">
        <f t="shared" si="42"/>
        <v>913</v>
      </c>
      <c r="Y27" s="94">
        <f t="shared" si="42"/>
        <v>868</v>
      </c>
      <c r="Z27" s="93">
        <f t="shared" si="42"/>
        <v>1286</v>
      </c>
      <c r="AA27" s="93">
        <f t="shared" si="42"/>
        <v>1299</v>
      </c>
      <c r="AB27" s="93">
        <f t="shared" si="42"/>
        <v>1058</v>
      </c>
      <c r="AC27" s="93">
        <f t="shared" si="42"/>
        <v>1</v>
      </c>
      <c r="AD27" s="93">
        <f t="shared" si="42"/>
        <v>650.77700000000004</v>
      </c>
      <c r="AE27" s="94">
        <f t="shared" si="42"/>
        <v>15166.776999999998</v>
      </c>
      <c r="AF27" s="93">
        <v>1549.3969999999999</v>
      </c>
      <c r="AG27" s="93">
        <v>8924</v>
      </c>
      <c r="AH27" s="94">
        <v>13400</v>
      </c>
      <c r="AI27" s="94">
        <v>9336</v>
      </c>
      <c r="AJ27" s="94">
        <v>2814</v>
      </c>
      <c r="AK27" s="94">
        <v>3650</v>
      </c>
      <c r="AL27" s="94">
        <v>46.2</v>
      </c>
      <c r="AM27" s="94">
        <v>335.39</v>
      </c>
      <c r="AN27" s="101">
        <v>335</v>
      </c>
      <c r="AO27" s="101" t="s">
        <v>29</v>
      </c>
      <c r="AP27" s="101" t="s">
        <v>29</v>
      </c>
      <c r="AQ27" s="101" t="s">
        <v>29</v>
      </c>
      <c r="AR27" s="101" t="s">
        <v>29</v>
      </c>
      <c r="AS27" s="101" t="s">
        <v>29</v>
      </c>
      <c r="AT27" s="101" t="s">
        <v>29</v>
      </c>
      <c r="AU27" s="101" t="s">
        <v>29</v>
      </c>
      <c r="AV27" s="101" t="s">
        <v>29</v>
      </c>
      <c r="AW27" s="101" t="s">
        <v>29</v>
      </c>
      <c r="AX27" s="101" t="s">
        <v>29</v>
      </c>
      <c r="AY27" s="101" t="s">
        <v>29</v>
      </c>
      <c r="AZ27" s="95">
        <f>SUM(AZ29:AZ32)</f>
        <v>335.39</v>
      </c>
      <c r="BA27" s="191">
        <v>0</v>
      </c>
      <c r="BB27" s="191">
        <v>0</v>
      </c>
      <c r="BC27" s="191">
        <v>0</v>
      </c>
      <c r="BD27" s="191">
        <v>0</v>
      </c>
      <c r="BE27" s="191">
        <v>0</v>
      </c>
      <c r="BF27" s="333">
        <v>0</v>
      </c>
      <c r="BG27" s="333">
        <v>4372.2999999999993</v>
      </c>
      <c r="BH27" s="333">
        <v>6159.1869999999999</v>
      </c>
      <c r="BI27" s="333">
        <v>5070.41</v>
      </c>
      <c r="BJ27" s="333">
        <v>7454.6989999999996</v>
      </c>
      <c r="BK27" s="333">
        <v>7943.18</v>
      </c>
      <c r="BL27" s="333">
        <v>2848.18</v>
      </c>
      <c r="BM27" s="333">
        <v>2618.7249999999999</v>
      </c>
      <c r="BN27" s="333">
        <v>1690.789</v>
      </c>
      <c r="BO27" s="333">
        <v>1319.5900000000001</v>
      </c>
      <c r="BP27" s="333">
        <v>15</v>
      </c>
      <c r="BQ27" s="333">
        <v>341.05</v>
      </c>
      <c r="BR27" s="333">
        <v>0</v>
      </c>
      <c r="BS27" s="333">
        <v>1.889</v>
      </c>
      <c r="BT27" s="333">
        <v>345.3</v>
      </c>
      <c r="BU27" s="333">
        <v>314.5</v>
      </c>
      <c r="BV27" s="333">
        <v>0</v>
      </c>
      <c r="BW27" s="333">
        <v>342.8</v>
      </c>
      <c r="BX27" s="333">
        <v>328.1</v>
      </c>
      <c r="BY27" s="333">
        <v>2.15</v>
      </c>
      <c r="BZ27" s="333">
        <v>0</v>
      </c>
      <c r="CA27" s="333">
        <v>1690.789</v>
      </c>
      <c r="CB27" s="333" t="s">
        <v>29</v>
      </c>
      <c r="CC27" s="333" t="s">
        <v>29</v>
      </c>
      <c r="CD27" s="333" t="s">
        <v>29</v>
      </c>
      <c r="CE27" s="333" t="s">
        <v>29</v>
      </c>
      <c r="CF27" s="333" t="s">
        <v>29</v>
      </c>
      <c r="CG27" s="333" t="s">
        <v>29</v>
      </c>
      <c r="CH27" s="333" t="s">
        <v>29</v>
      </c>
      <c r="CI27" s="333" t="s">
        <v>29</v>
      </c>
      <c r="CJ27" s="333" t="s">
        <v>29</v>
      </c>
      <c r="CK27" s="333" t="s">
        <v>29</v>
      </c>
      <c r="CL27" s="333" t="s">
        <v>29</v>
      </c>
      <c r="CM27" s="333" t="s">
        <v>29</v>
      </c>
      <c r="CN27" s="333" t="s">
        <v>29</v>
      </c>
      <c r="CO27" s="333" t="s">
        <v>29</v>
      </c>
      <c r="CP27" s="333" t="s">
        <v>29</v>
      </c>
      <c r="CQ27" s="333" t="s">
        <v>29</v>
      </c>
      <c r="CR27" s="333" t="s">
        <v>29</v>
      </c>
      <c r="CS27" s="333" t="s">
        <v>29</v>
      </c>
      <c r="CT27" s="333" t="s">
        <v>29</v>
      </c>
      <c r="CU27" s="333" t="s">
        <v>29</v>
      </c>
      <c r="CV27" s="333" t="s">
        <v>29</v>
      </c>
      <c r="CW27" s="333" t="s">
        <v>29</v>
      </c>
      <c r="CX27" s="333" t="s">
        <v>29</v>
      </c>
      <c r="CY27" s="333" t="s">
        <v>29</v>
      </c>
      <c r="CZ27" s="333" t="s">
        <v>29</v>
      </c>
      <c r="DA27" s="333" t="s">
        <v>29</v>
      </c>
      <c r="DB27" s="333"/>
      <c r="DC27" s="333" t="s">
        <v>29</v>
      </c>
      <c r="DD27" s="333" t="s">
        <v>29</v>
      </c>
      <c r="DE27" s="333" t="s">
        <v>29</v>
      </c>
      <c r="DF27" s="333" t="s">
        <v>29</v>
      </c>
      <c r="DG27" s="333" t="s">
        <v>29</v>
      </c>
      <c r="DH27" s="333" t="s">
        <v>29</v>
      </c>
      <c r="DI27" s="333" t="s">
        <v>29</v>
      </c>
      <c r="DJ27" s="333"/>
      <c r="DK27" s="333" t="s">
        <v>29</v>
      </c>
      <c r="DL27" s="333" t="s">
        <v>29</v>
      </c>
      <c r="DM27" s="333" t="s">
        <v>29</v>
      </c>
      <c r="DN27" s="333" t="s">
        <v>29</v>
      </c>
      <c r="DO27" s="333" t="s">
        <v>29</v>
      </c>
      <c r="DP27" s="333" t="s">
        <v>29</v>
      </c>
      <c r="DQ27" s="333">
        <v>0</v>
      </c>
      <c r="DR27" s="333">
        <v>0</v>
      </c>
      <c r="DS27" s="333">
        <v>0</v>
      </c>
      <c r="DT27" s="333" t="s">
        <v>29</v>
      </c>
      <c r="DU27" s="333" t="s">
        <v>29</v>
      </c>
      <c r="DV27" s="333" t="s">
        <v>29</v>
      </c>
      <c r="DW27" s="333" t="s">
        <v>29</v>
      </c>
      <c r="DX27" s="333" t="s">
        <v>29</v>
      </c>
      <c r="DY27" s="333">
        <v>0</v>
      </c>
      <c r="DZ27" s="333"/>
      <c r="EA27" s="333"/>
      <c r="EB27" s="333">
        <v>0</v>
      </c>
      <c r="EC27" s="333">
        <v>0</v>
      </c>
      <c r="ED27" s="333">
        <v>0</v>
      </c>
      <c r="EE27" s="333">
        <v>0</v>
      </c>
      <c r="EF27" s="333">
        <v>0</v>
      </c>
      <c r="EG27" s="333">
        <v>0</v>
      </c>
      <c r="EH27" s="333">
        <v>0</v>
      </c>
      <c r="EI27" s="333">
        <v>0</v>
      </c>
      <c r="EJ27" s="333">
        <v>0</v>
      </c>
      <c r="EK27" s="333">
        <v>0</v>
      </c>
      <c r="EL27" s="333">
        <v>0</v>
      </c>
      <c r="EM27" s="333">
        <v>0</v>
      </c>
      <c r="EN27" s="333">
        <v>0</v>
      </c>
      <c r="EO27" s="333">
        <v>0</v>
      </c>
      <c r="EP27" s="333">
        <v>0</v>
      </c>
      <c r="EQ27" s="333">
        <v>0</v>
      </c>
      <c r="ER27" s="333">
        <v>0</v>
      </c>
      <c r="ES27" s="333">
        <v>0</v>
      </c>
      <c r="ET27" s="333">
        <v>0</v>
      </c>
      <c r="EU27" s="333">
        <v>0</v>
      </c>
      <c r="EV27" s="333">
        <v>0</v>
      </c>
      <c r="EW27" s="333">
        <v>0</v>
      </c>
      <c r="EX27" s="333">
        <f>EX29+EX31</f>
        <v>1246.2</v>
      </c>
      <c r="EY27" s="333">
        <f>EY29+EY31</f>
        <v>323.7</v>
      </c>
      <c r="EZ27" s="333">
        <f>EZ29+EZ31</f>
        <v>571.1</v>
      </c>
      <c r="FA27" s="333">
        <f>FA29+FA31</f>
        <v>887.3</v>
      </c>
      <c r="FB27" s="333">
        <f>FB29+FB31</f>
        <v>4372.2999999999993</v>
      </c>
      <c r="FC27" s="333">
        <f t="shared" ref="FC27:FN27" si="43">FC29+FC31</f>
        <v>248.35</v>
      </c>
      <c r="FD27" s="333">
        <f t="shared" si="43"/>
        <v>574.29999999999995</v>
      </c>
      <c r="FE27" s="333">
        <f t="shared" si="43"/>
        <v>417.8</v>
      </c>
      <c r="FF27" s="333">
        <f t="shared" si="43"/>
        <v>1386.3</v>
      </c>
      <c r="FG27" s="333">
        <f t="shared" si="43"/>
        <v>317</v>
      </c>
      <c r="FH27" s="333">
        <f t="shared" si="43"/>
        <v>777.15</v>
      </c>
      <c r="FI27" s="333">
        <f t="shared" si="43"/>
        <v>441.05</v>
      </c>
      <c r="FJ27" s="333">
        <f t="shared" si="43"/>
        <v>258.85000000000002</v>
      </c>
      <c r="FK27" s="333">
        <f t="shared" si="43"/>
        <v>682.60699999999997</v>
      </c>
      <c r="FL27" s="333">
        <f t="shared" si="43"/>
        <v>483.63</v>
      </c>
      <c r="FM27" s="333">
        <f t="shared" si="43"/>
        <v>0</v>
      </c>
      <c r="FN27" s="333">
        <f t="shared" si="43"/>
        <v>572.15000000000009</v>
      </c>
      <c r="FO27" s="333">
        <f t="shared" ref="FO27:GN27" si="44">SUM(FO29:FO31)</f>
        <v>6159.1869999999999</v>
      </c>
      <c r="FP27" s="333">
        <f t="shared" si="44"/>
        <v>57.25</v>
      </c>
      <c r="FQ27" s="333">
        <f t="shared" si="44"/>
        <v>0</v>
      </c>
      <c r="FR27" s="333">
        <f t="shared" si="44"/>
        <v>936.90000000000009</v>
      </c>
      <c r="FS27" s="333">
        <f t="shared" si="44"/>
        <v>329.8</v>
      </c>
      <c r="FT27" s="333">
        <f t="shared" si="44"/>
        <v>789.84999999999991</v>
      </c>
      <c r="FU27" s="333">
        <f t="shared" si="44"/>
        <v>0</v>
      </c>
      <c r="FV27" s="333">
        <f t="shared" si="44"/>
        <v>780.25</v>
      </c>
      <c r="FW27" s="333">
        <f t="shared" si="44"/>
        <v>57.2</v>
      </c>
      <c r="FX27" s="333">
        <f t="shared" si="44"/>
        <v>407.25</v>
      </c>
      <c r="FY27" s="333">
        <f t="shared" si="44"/>
        <v>488.4</v>
      </c>
      <c r="FZ27" s="333">
        <f t="shared" si="44"/>
        <v>860.91</v>
      </c>
      <c r="GA27" s="333">
        <f t="shared" si="44"/>
        <v>362.6</v>
      </c>
      <c r="GB27" s="333">
        <f t="shared" si="44"/>
        <v>5070.41</v>
      </c>
      <c r="GC27" s="333">
        <f t="shared" si="44"/>
        <v>1027.855</v>
      </c>
      <c r="GD27" s="333">
        <f t="shared" si="44"/>
        <v>692.79399999999998</v>
      </c>
      <c r="GE27" s="333">
        <f t="shared" si="44"/>
        <v>617.29999999999995</v>
      </c>
      <c r="GF27" s="333">
        <f t="shared" si="44"/>
        <v>899.6</v>
      </c>
      <c r="GG27" s="333">
        <f t="shared" si="44"/>
        <v>337.25</v>
      </c>
      <c r="GH27" s="333">
        <f t="shared" si="44"/>
        <v>683.35</v>
      </c>
      <c r="GI27" s="333">
        <f t="shared" si="44"/>
        <v>323.35000000000002</v>
      </c>
      <c r="GJ27" s="333">
        <f t="shared" si="44"/>
        <v>447</v>
      </c>
      <c r="GK27" s="333">
        <f t="shared" si="44"/>
        <v>404.65</v>
      </c>
      <c r="GL27" s="333">
        <f t="shared" si="44"/>
        <v>692.9</v>
      </c>
      <c r="GM27" s="333">
        <f t="shared" si="44"/>
        <v>532.04999999999995</v>
      </c>
      <c r="GN27" s="333">
        <f t="shared" si="44"/>
        <v>796.6</v>
      </c>
      <c r="GO27" s="333">
        <f>SUM(GO29:GO31)</f>
        <v>7454.6989999999996</v>
      </c>
      <c r="GP27" s="333">
        <f t="shared" ref="GP27:HM27" si="45">SUM(GP29:GP32)</f>
        <v>520.54999999999995</v>
      </c>
      <c r="GQ27" s="333">
        <f t="shared" si="45"/>
        <v>735.5</v>
      </c>
      <c r="GR27" s="333">
        <f>SUM(GR29:GR32)</f>
        <v>812.75</v>
      </c>
      <c r="GS27" s="333">
        <f t="shared" si="45"/>
        <v>1396.85</v>
      </c>
      <c r="GT27" s="333">
        <f t="shared" si="45"/>
        <v>567.70000000000005</v>
      </c>
      <c r="GU27" s="333">
        <f t="shared" si="45"/>
        <v>21.5</v>
      </c>
      <c r="GV27" s="333">
        <f t="shared" si="45"/>
        <v>924.81999999999994</v>
      </c>
      <c r="GW27" s="333">
        <f t="shared" si="45"/>
        <v>411.5</v>
      </c>
      <c r="GX27" s="333">
        <f t="shared" si="45"/>
        <v>998.5</v>
      </c>
      <c r="GY27" s="333">
        <f t="shared" si="45"/>
        <v>307.45999999999998</v>
      </c>
      <c r="GZ27" s="333">
        <f t="shared" si="45"/>
        <v>362.1</v>
      </c>
      <c r="HA27" s="333">
        <f t="shared" si="45"/>
        <v>883.95</v>
      </c>
      <c r="HB27" s="333">
        <f>SUM(HB29:HB32)</f>
        <v>889.4</v>
      </c>
      <c r="HC27" s="333">
        <f t="shared" si="45"/>
        <v>545.4</v>
      </c>
      <c r="HD27" s="333">
        <f t="shared" si="45"/>
        <v>460.78</v>
      </c>
      <c r="HE27" s="333">
        <f t="shared" si="45"/>
        <v>7</v>
      </c>
      <c r="HF27" s="333">
        <f t="shared" si="45"/>
        <v>302.95</v>
      </c>
      <c r="HG27" s="333">
        <f t="shared" si="45"/>
        <v>5</v>
      </c>
      <c r="HH27" s="333">
        <f t="shared" si="45"/>
        <v>0</v>
      </c>
      <c r="HI27" s="333">
        <f t="shared" si="45"/>
        <v>330.95</v>
      </c>
      <c r="HJ27" s="333">
        <f t="shared" si="45"/>
        <v>185.3</v>
      </c>
      <c r="HK27" s="333">
        <f t="shared" si="45"/>
        <v>121.4</v>
      </c>
      <c r="HL27" s="333">
        <f t="shared" si="45"/>
        <v>0</v>
      </c>
      <c r="HM27" s="333">
        <f t="shared" si="45"/>
        <v>0</v>
      </c>
      <c r="HN27" s="333">
        <f>SUM(HB27:HM27)</f>
        <v>2848.18</v>
      </c>
      <c r="HO27" s="333">
        <f>SUM(HO29:HO32)</f>
        <v>162.6</v>
      </c>
      <c r="HP27" s="333">
        <f>SUM(HP29:HP32)</f>
        <v>435.75</v>
      </c>
      <c r="HQ27" s="333">
        <f>SUM(HQ29:HQ32)</f>
        <v>346.62400000000002</v>
      </c>
      <c r="HR27" s="333">
        <f>SUM(HR29:HR32)</f>
        <v>0</v>
      </c>
      <c r="HS27" s="333">
        <f>HS29+HS30+HS31+HS32</f>
        <v>324.85000000000002</v>
      </c>
      <c r="HT27" s="333">
        <f>SUM(HT29:HT32)</f>
        <v>6.25</v>
      </c>
      <c r="HU27" s="408">
        <f>HU29+HU30+HU31</f>
        <v>325.85000000000002</v>
      </c>
      <c r="HV27" s="333">
        <f>HV29+HV30+HV31</f>
        <v>0</v>
      </c>
      <c r="HW27" s="333">
        <f>HW29+HW30+HW31+HW32</f>
        <v>334.5</v>
      </c>
      <c r="HX27" s="333">
        <f>HX29+HX30+HX31+HX32</f>
        <v>0</v>
      </c>
      <c r="HY27" s="394">
        <f>HY29+HY30+HY31+HY32</f>
        <v>350.7</v>
      </c>
      <c r="HZ27" s="413">
        <f>HZ29+HZ30+HZ31+HZ32</f>
        <v>331.601</v>
      </c>
      <c r="IA27" s="333">
        <v>0</v>
      </c>
      <c r="IB27" s="333">
        <f t="shared" ref="IB27:II27" si="46">IB29+IB30+IB31+IB32</f>
        <v>15</v>
      </c>
      <c r="IC27" s="333">
        <f t="shared" si="46"/>
        <v>341.05</v>
      </c>
      <c r="ID27" s="333">
        <f t="shared" si="46"/>
        <v>0</v>
      </c>
      <c r="IE27" s="333">
        <f t="shared" si="46"/>
        <v>1.889</v>
      </c>
      <c r="IF27" s="333">
        <f t="shared" si="46"/>
        <v>345.3</v>
      </c>
      <c r="IG27" s="408">
        <f t="shared" si="46"/>
        <v>314.5</v>
      </c>
      <c r="IH27" s="333">
        <f t="shared" si="46"/>
        <v>0</v>
      </c>
      <c r="II27" s="333">
        <f t="shared" si="46"/>
        <v>342.8</v>
      </c>
      <c r="IJ27" s="333">
        <f t="shared" ref="IJ27:IZ27" si="47">IJ29+IJ30+IJ31+IJ32</f>
        <v>328.1</v>
      </c>
      <c r="IK27" s="333">
        <f t="shared" si="47"/>
        <v>2.15</v>
      </c>
      <c r="IL27" s="333">
        <f t="shared" si="47"/>
        <v>0</v>
      </c>
      <c r="IM27" s="333">
        <f t="shared" si="47"/>
        <v>0</v>
      </c>
      <c r="IN27" s="333">
        <f t="shared" si="47"/>
        <v>355.61</v>
      </c>
      <c r="IO27" s="333">
        <f t="shared" si="47"/>
        <v>0</v>
      </c>
      <c r="IP27" s="333">
        <f t="shared" si="47"/>
        <v>0</v>
      </c>
      <c r="IQ27" s="333">
        <f t="shared" si="47"/>
        <v>329.18</v>
      </c>
      <c r="IR27" s="333">
        <f t="shared" si="47"/>
        <v>5.9</v>
      </c>
      <c r="IS27" s="333">
        <f t="shared" si="47"/>
        <v>0</v>
      </c>
      <c r="IT27" s="333">
        <f t="shared" si="47"/>
        <v>0</v>
      </c>
      <c r="IU27" s="333">
        <f t="shared" si="47"/>
        <v>343.05</v>
      </c>
      <c r="IV27" s="333">
        <f t="shared" si="47"/>
        <v>285.85000000000002</v>
      </c>
      <c r="IW27" s="333">
        <f t="shared" si="47"/>
        <v>0</v>
      </c>
      <c r="IX27" s="333">
        <f t="shared" si="47"/>
        <v>0</v>
      </c>
      <c r="IY27" s="333">
        <f t="shared" si="47"/>
        <v>330.55</v>
      </c>
      <c r="IZ27" s="333">
        <f t="shared" si="47"/>
        <v>0</v>
      </c>
      <c r="JA27" s="333"/>
      <c r="JB27" s="333"/>
      <c r="JC27" s="333"/>
      <c r="JD27" s="333"/>
      <c r="JE27" s="333"/>
      <c r="JF27" s="333"/>
      <c r="JG27" s="333"/>
      <c r="JH27" s="333"/>
      <c r="JI27" s="333"/>
      <c r="JJ27" s="333"/>
      <c r="JK27" s="408">
        <f>+JK29+JK30+JK31+JK32</f>
        <v>355.61</v>
      </c>
      <c r="JL27" s="408">
        <f>+JL29+JL30+JL31+JL32</f>
        <v>330.55</v>
      </c>
      <c r="JM27" s="305"/>
      <c r="JN27" s="305"/>
      <c r="JO27" s="305"/>
      <c r="JP27" s="305"/>
      <c r="JQ27" s="305"/>
      <c r="JR27" s="305"/>
      <c r="JS27" s="305"/>
      <c r="JT27" s="304"/>
      <c r="JU27" s="306"/>
    </row>
    <row r="28" spans="1:281" x14ac:dyDescent="0.25">
      <c r="A28" s="55"/>
      <c r="B28" s="34"/>
      <c r="C28" s="34"/>
      <c r="D28" s="34"/>
      <c r="E28" s="79"/>
      <c r="F28" s="79"/>
      <c r="G28" s="79"/>
      <c r="H28" s="79"/>
      <c r="I28" s="79"/>
      <c r="J28" s="79"/>
      <c r="K28" s="79"/>
      <c r="L28" s="79"/>
      <c r="M28" s="112" t="s">
        <v>27</v>
      </c>
      <c r="N28" s="97" t="s">
        <v>27</v>
      </c>
      <c r="O28" s="98" t="s">
        <v>27</v>
      </c>
      <c r="P28" s="102"/>
      <c r="Q28" s="93"/>
      <c r="R28" s="93"/>
      <c r="S28" s="92"/>
      <c r="T28" s="92"/>
      <c r="U28" s="69"/>
      <c r="V28" s="69"/>
      <c r="W28" s="93"/>
      <c r="X28" s="93"/>
      <c r="Y28" s="94"/>
      <c r="Z28" s="93"/>
      <c r="AA28" s="93"/>
      <c r="AB28" s="93"/>
      <c r="AC28" s="94"/>
      <c r="AD28" s="93"/>
      <c r="AE28" s="94"/>
      <c r="AF28" s="93"/>
      <c r="AG28" s="93"/>
      <c r="AH28" s="94"/>
      <c r="AI28" s="94"/>
      <c r="AJ28" s="94"/>
      <c r="AK28" s="94"/>
      <c r="AL28" s="94"/>
      <c r="AM28" s="94"/>
      <c r="AN28" s="105"/>
      <c r="AO28" s="95"/>
      <c r="AP28" s="69"/>
      <c r="AQ28" s="95"/>
      <c r="AR28" s="105"/>
      <c r="AS28" s="69"/>
      <c r="AT28" s="69"/>
      <c r="AU28" s="93"/>
      <c r="AV28" s="69"/>
      <c r="AW28" s="69"/>
      <c r="AX28" s="95"/>
      <c r="AY28" s="93"/>
      <c r="AZ28" s="105"/>
      <c r="BA28" s="101"/>
      <c r="BB28" s="101"/>
      <c r="BC28" s="101"/>
      <c r="BD28" s="101"/>
      <c r="BE28" s="101"/>
      <c r="BF28" s="191"/>
      <c r="BG28" s="191"/>
      <c r="BH28" s="191"/>
      <c r="BI28" s="191"/>
      <c r="BJ28" s="191"/>
      <c r="BK28" s="191"/>
      <c r="BL28" s="333"/>
      <c r="BM28" s="333"/>
      <c r="BN28" s="333"/>
      <c r="BO28" s="333"/>
      <c r="BP28" s="333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 t="s">
        <v>29</v>
      </c>
      <c r="CR28" s="191"/>
      <c r="CS28" s="191" t="s">
        <v>29</v>
      </c>
      <c r="CT28" s="191" t="s">
        <v>29</v>
      </c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410"/>
      <c r="HV28" s="376"/>
      <c r="HW28" s="376"/>
      <c r="HX28" s="376"/>
      <c r="HY28" s="376"/>
      <c r="HZ28" s="409"/>
      <c r="IA28" s="392"/>
      <c r="IB28" s="392"/>
      <c r="IC28" s="392"/>
      <c r="ID28" s="392"/>
      <c r="IE28" s="392"/>
      <c r="IF28" s="392"/>
      <c r="IG28" s="436"/>
      <c r="IH28" s="436"/>
      <c r="II28" s="436"/>
      <c r="IJ28" s="436"/>
      <c r="IK28" s="436"/>
      <c r="IL28" s="436"/>
      <c r="IM28" s="436"/>
      <c r="IN28" s="436"/>
      <c r="IO28" s="436"/>
      <c r="IP28" s="436"/>
      <c r="IQ28" s="436"/>
      <c r="IR28" s="436"/>
      <c r="IS28" s="436"/>
      <c r="IT28" s="436"/>
      <c r="IU28" s="436"/>
      <c r="IV28" s="436"/>
      <c r="IW28" s="436"/>
      <c r="IX28" s="436"/>
      <c r="IY28" s="436"/>
      <c r="IZ28" s="436"/>
      <c r="JA28" s="436"/>
      <c r="JB28" s="436"/>
      <c r="JC28" s="436"/>
      <c r="JD28" s="436"/>
      <c r="JE28" s="436"/>
      <c r="JF28" s="436"/>
      <c r="JG28" s="436"/>
      <c r="JH28" s="436"/>
      <c r="JI28" s="436"/>
      <c r="JJ28" s="436"/>
      <c r="JK28" s="408"/>
      <c r="JL28" s="436"/>
      <c r="JM28" s="11"/>
      <c r="JN28" s="11"/>
      <c r="JO28" s="11"/>
      <c r="JP28" s="12"/>
      <c r="JQ28" s="9"/>
      <c r="JR28" s="9"/>
      <c r="JS28" s="9"/>
      <c r="JT28" s="9"/>
      <c r="JU28" s="9"/>
    </row>
    <row r="29" spans="1:281" x14ac:dyDescent="0.25">
      <c r="A29" s="91" t="s">
        <v>41</v>
      </c>
      <c r="B29" s="34"/>
      <c r="C29" s="34"/>
      <c r="D29" s="34"/>
      <c r="E29" s="79">
        <v>1900</v>
      </c>
      <c r="F29" s="79">
        <v>1113</v>
      </c>
      <c r="G29" s="79">
        <v>5028</v>
      </c>
      <c r="H29" s="79">
        <v>4263</v>
      </c>
      <c r="I29" s="79">
        <v>5032</v>
      </c>
      <c r="J29" s="79">
        <v>13435</v>
      </c>
      <c r="K29" s="79">
        <v>18946</v>
      </c>
      <c r="L29" s="79">
        <v>13326</v>
      </c>
      <c r="M29" s="79">
        <v>10301</v>
      </c>
      <c r="N29" s="92">
        <v>5484</v>
      </c>
      <c r="O29" s="93">
        <v>2734</v>
      </c>
      <c r="P29" s="101" t="s">
        <v>80</v>
      </c>
      <c r="Q29" s="93">
        <v>8913</v>
      </c>
      <c r="R29" s="93">
        <v>5394.3429999999998</v>
      </c>
      <c r="S29" s="92">
        <v>401</v>
      </c>
      <c r="T29" s="92">
        <v>315</v>
      </c>
      <c r="U29" s="69">
        <v>218</v>
      </c>
      <c r="V29" s="69">
        <v>892</v>
      </c>
      <c r="W29" s="93">
        <v>644</v>
      </c>
      <c r="X29" s="107" t="s">
        <v>29</v>
      </c>
      <c r="Y29" s="94">
        <v>646</v>
      </c>
      <c r="Z29" s="93">
        <v>599</v>
      </c>
      <c r="AA29" s="93">
        <v>928</v>
      </c>
      <c r="AB29" s="93">
        <v>451</v>
      </c>
      <c r="AC29" s="103" t="s">
        <v>80</v>
      </c>
      <c r="AD29" s="93">
        <v>300.34300000000002</v>
      </c>
      <c r="AE29" s="94">
        <f>SUM(S29:AD29)</f>
        <v>5394.3429999999998</v>
      </c>
      <c r="AF29" s="93">
        <v>219.09100000000001</v>
      </c>
      <c r="AG29" s="93">
        <v>4230</v>
      </c>
      <c r="AH29" s="94">
        <v>7873</v>
      </c>
      <c r="AI29" s="94">
        <v>4734</v>
      </c>
      <c r="AJ29" s="94">
        <v>661</v>
      </c>
      <c r="AK29" s="94">
        <v>312</v>
      </c>
      <c r="AL29" s="101" t="s">
        <v>29</v>
      </c>
      <c r="AM29" s="101" t="s">
        <v>29</v>
      </c>
      <c r="AN29" s="101" t="s">
        <v>29</v>
      </c>
      <c r="AO29" s="101" t="s">
        <v>29</v>
      </c>
      <c r="AP29" s="101" t="s">
        <v>29</v>
      </c>
      <c r="AQ29" s="101" t="s">
        <v>29</v>
      </c>
      <c r="AR29" s="101" t="s">
        <v>29</v>
      </c>
      <c r="AS29" s="101" t="s">
        <v>29</v>
      </c>
      <c r="AT29" s="101" t="s">
        <v>29</v>
      </c>
      <c r="AU29" s="101" t="s">
        <v>29</v>
      </c>
      <c r="AV29" s="101" t="s">
        <v>29</v>
      </c>
      <c r="AW29" s="101" t="s">
        <v>29</v>
      </c>
      <c r="AX29" s="101" t="s">
        <v>29</v>
      </c>
      <c r="AY29" s="101" t="s">
        <v>29</v>
      </c>
      <c r="AZ29" s="101" t="s">
        <v>29</v>
      </c>
      <c r="BA29" s="191">
        <v>0</v>
      </c>
      <c r="BB29" s="191">
        <v>0</v>
      </c>
      <c r="BC29" s="191">
        <v>0</v>
      </c>
      <c r="BD29" s="191">
        <v>0</v>
      </c>
      <c r="BE29" s="191">
        <v>0</v>
      </c>
      <c r="BF29" s="191">
        <v>0</v>
      </c>
      <c r="BG29" s="191">
        <v>0</v>
      </c>
      <c r="BH29" s="191">
        <v>1586.8069999999998</v>
      </c>
      <c r="BI29" s="191">
        <v>964.8</v>
      </c>
      <c r="BJ29" s="191">
        <v>393.65</v>
      </c>
      <c r="BK29" s="191">
        <v>0</v>
      </c>
      <c r="BL29" s="191">
        <v>0</v>
      </c>
      <c r="BM29" s="191">
        <v>0</v>
      </c>
      <c r="BN29" s="191">
        <v>0</v>
      </c>
      <c r="BO29" s="191">
        <v>0</v>
      </c>
      <c r="BP29" s="333">
        <v>0</v>
      </c>
      <c r="BQ29" s="191">
        <v>0</v>
      </c>
      <c r="BR29" s="191">
        <v>0</v>
      </c>
      <c r="BS29" s="191">
        <v>0</v>
      </c>
      <c r="BT29" s="191">
        <v>0</v>
      </c>
      <c r="BU29" s="191">
        <v>0</v>
      </c>
      <c r="BV29" s="191">
        <v>0</v>
      </c>
      <c r="BW29" s="191">
        <v>0</v>
      </c>
      <c r="BX29" s="191">
        <v>0</v>
      </c>
      <c r="BY29" s="191">
        <v>0</v>
      </c>
      <c r="BZ29" s="191">
        <v>0</v>
      </c>
      <c r="CA29" s="191">
        <v>0</v>
      </c>
      <c r="CB29" s="191" t="s">
        <v>29</v>
      </c>
      <c r="CC29" s="191">
        <v>0</v>
      </c>
      <c r="CD29" s="191" t="s">
        <v>29</v>
      </c>
      <c r="CE29" s="191" t="s">
        <v>29</v>
      </c>
      <c r="CF29" s="191" t="s">
        <v>29</v>
      </c>
      <c r="CG29" s="191" t="s">
        <v>29</v>
      </c>
      <c r="CH29" s="191" t="s">
        <v>29</v>
      </c>
      <c r="CI29" s="191" t="s">
        <v>29</v>
      </c>
      <c r="CJ29" s="191" t="s">
        <v>29</v>
      </c>
      <c r="CK29" s="191" t="s">
        <v>29</v>
      </c>
      <c r="CL29" s="191" t="s">
        <v>29</v>
      </c>
      <c r="CM29" s="191" t="s">
        <v>29</v>
      </c>
      <c r="CN29" s="191" t="s">
        <v>29</v>
      </c>
      <c r="CO29" s="191" t="s">
        <v>29</v>
      </c>
      <c r="CP29" s="191" t="s">
        <v>29</v>
      </c>
      <c r="CQ29" s="191" t="s">
        <v>29</v>
      </c>
      <c r="CR29" s="191" t="s">
        <v>29</v>
      </c>
      <c r="CS29" s="191" t="s">
        <v>29</v>
      </c>
      <c r="CT29" s="191" t="s">
        <v>29</v>
      </c>
      <c r="CU29" s="191" t="s">
        <v>29</v>
      </c>
      <c r="CV29" s="191" t="s">
        <v>29</v>
      </c>
      <c r="CW29" s="191" t="s">
        <v>29</v>
      </c>
      <c r="CX29" s="191" t="s">
        <v>29</v>
      </c>
      <c r="CY29" s="191" t="s">
        <v>29</v>
      </c>
      <c r="CZ29" s="191" t="s">
        <v>29</v>
      </c>
      <c r="DA29" s="191" t="s">
        <v>29</v>
      </c>
      <c r="DB29" s="191"/>
      <c r="DC29" s="191" t="s">
        <v>29</v>
      </c>
      <c r="DD29" s="191" t="s">
        <v>29</v>
      </c>
      <c r="DE29" s="191" t="s">
        <v>29</v>
      </c>
      <c r="DF29" s="191" t="s">
        <v>29</v>
      </c>
      <c r="DG29" s="191" t="s">
        <v>29</v>
      </c>
      <c r="DH29" s="191" t="s">
        <v>29</v>
      </c>
      <c r="DI29" s="191" t="s">
        <v>29</v>
      </c>
      <c r="DJ29" s="191"/>
      <c r="DK29" s="191" t="s">
        <v>29</v>
      </c>
      <c r="DL29" s="191" t="s">
        <v>29</v>
      </c>
      <c r="DM29" s="191" t="s">
        <v>29</v>
      </c>
      <c r="DN29" s="191" t="s">
        <v>29</v>
      </c>
      <c r="DO29" s="191" t="s">
        <v>29</v>
      </c>
      <c r="DP29" s="191" t="s">
        <v>29</v>
      </c>
      <c r="DQ29" s="191">
        <v>0</v>
      </c>
      <c r="DR29" s="191">
        <v>0</v>
      </c>
      <c r="DS29" s="191">
        <v>0</v>
      </c>
      <c r="DT29" s="191" t="s">
        <v>29</v>
      </c>
      <c r="DU29" s="191" t="s">
        <v>29</v>
      </c>
      <c r="DV29" s="191" t="s">
        <v>29</v>
      </c>
      <c r="DW29" s="191" t="s">
        <v>29</v>
      </c>
      <c r="DX29" s="191" t="s">
        <v>29</v>
      </c>
      <c r="DY29" s="191">
        <v>0</v>
      </c>
      <c r="DZ29" s="191"/>
      <c r="EA29" s="191" t="s">
        <v>29</v>
      </c>
      <c r="EB29" s="191">
        <v>0</v>
      </c>
      <c r="EC29" s="191">
        <v>0</v>
      </c>
      <c r="ED29" s="191">
        <v>0</v>
      </c>
      <c r="EE29" s="191">
        <v>0</v>
      </c>
      <c r="EF29" s="191">
        <v>0</v>
      </c>
      <c r="EG29" s="191">
        <v>0</v>
      </c>
      <c r="EH29" s="191">
        <v>0</v>
      </c>
      <c r="EI29" s="191" t="s">
        <v>29</v>
      </c>
      <c r="EJ29" s="191">
        <v>0</v>
      </c>
      <c r="EK29" s="191">
        <v>0</v>
      </c>
      <c r="EL29" s="191">
        <v>0</v>
      </c>
      <c r="EM29" s="191">
        <v>0</v>
      </c>
      <c r="EN29" s="191">
        <v>0</v>
      </c>
      <c r="EO29" s="191">
        <v>0</v>
      </c>
      <c r="EP29" s="191">
        <v>0</v>
      </c>
      <c r="EQ29" s="191">
        <v>0</v>
      </c>
      <c r="ER29" s="191">
        <v>0</v>
      </c>
      <c r="ES29" s="191">
        <v>0</v>
      </c>
      <c r="ET29" s="191">
        <v>0</v>
      </c>
      <c r="EU29" s="191">
        <v>0</v>
      </c>
      <c r="EV29" s="191">
        <v>0</v>
      </c>
      <c r="EW29" s="191">
        <v>0</v>
      </c>
      <c r="EX29" s="191">
        <v>0</v>
      </c>
      <c r="EY29" s="191">
        <v>0</v>
      </c>
      <c r="EZ29" s="191">
        <v>0</v>
      </c>
      <c r="FA29" s="191">
        <v>0</v>
      </c>
      <c r="FB29" s="191">
        <v>0</v>
      </c>
      <c r="FC29" s="191">
        <v>0</v>
      </c>
      <c r="FD29" s="191">
        <v>0</v>
      </c>
      <c r="FE29" s="191">
        <v>319.25</v>
      </c>
      <c r="FF29" s="191">
        <v>0</v>
      </c>
      <c r="FG29" s="191">
        <v>0</v>
      </c>
      <c r="FH29" s="191">
        <v>217.75</v>
      </c>
      <c r="FI29" s="191">
        <v>0</v>
      </c>
      <c r="FJ29" s="191">
        <v>0</v>
      </c>
      <c r="FK29" s="191">
        <v>617.95699999999999</v>
      </c>
      <c r="FL29" s="191">
        <v>0</v>
      </c>
      <c r="FM29" s="191">
        <v>0</v>
      </c>
      <c r="FN29" s="191">
        <v>431.85</v>
      </c>
      <c r="FO29" s="191">
        <f>SUM(FC29:FN29)</f>
        <v>1586.8069999999998</v>
      </c>
      <c r="FP29" s="191">
        <v>57.25</v>
      </c>
      <c r="FQ29" s="191">
        <v>0</v>
      </c>
      <c r="FR29" s="191">
        <v>441.85</v>
      </c>
      <c r="FS29" s="191"/>
      <c r="FT29" s="191">
        <v>465.7</v>
      </c>
      <c r="FU29" s="191">
        <v>0</v>
      </c>
      <c r="FV29" s="191">
        <v>0</v>
      </c>
      <c r="FW29" s="191">
        <v>0</v>
      </c>
      <c r="FX29" s="191">
        <v>0</v>
      </c>
      <c r="FY29" s="191">
        <v>0</v>
      </c>
      <c r="FZ29" s="191">
        <v>0</v>
      </c>
      <c r="GA29" s="191">
        <v>0</v>
      </c>
      <c r="GB29" s="191">
        <f>SUM(FP29:GA29)</f>
        <v>964.8</v>
      </c>
      <c r="GC29" s="191">
        <v>0</v>
      </c>
      <c r="GD29" s="191">
        <v>0</v>
      </c>
      <c r="GE29" s="191">
        <v>117.15</v>
      </c>
      <c r="GF29" s="191">
        <v>276.5</v>
      </c>
      <c r="GG29" s="191">
        <v>0</v>
      </c>
      <c r="GH29" s="191">
        <v>0</v>
      </c>
      <c r="GI29" s="191">
        <v>0</v>
      </c>
      <c r="GJ29" s="191">
        <v>0</v>
      </c>
      <c r="GK29" s="191">
        <v>0</v>
      </c>
      <c r="GL29" s="191">
        <v>0</v>
      </c>
      <c r="GM29" s="191">
        <v>0</v>
      </c>
      <c r="GN29" s="191">
        <v>0</v>
      </c>
      <c r="GO29" s="191">
        <f>SUM(GC29:GN29)</f>
        <v>393.65</v>
      </c>
      <c r="GP29" s="191">
        <v>0</v>
      </c>
      <c r="GQ29" s="191">
        <v>0</v>
      </c>
      <c r="GR29" s="191">
        <v>0</v>
      </c>
      <c r="GS29" s="191">
        <v>0</v>
      </c>
      <c r="GT29" s="191">
        <v>0</v>
      </c>
      <c r="GU29" s="191">
        <v>0</v>
      </c>
      <c r="GV29" s="191">
        <v>0</v>
      </c>
      <c r="GW29" s="191">
        <v>0</v>
      </c>
      <c r="GX29" s="191" t="s">
        <v>29</v>
      </c>
      <c r="GY29" s="191">
        <v>0</v>
      </c>
      <c r="GZ29" s="191">
        <v>0</v>
      </c>
      <c r="HA29" s="191">
        <v>0</v>
      </c>
      <c r="HB29" s="191">
        <v>0</v>
      </c>
      <c r="HC29" s="191">
        <v>0</v>
      </c>
      <c r="HD29" s="191">
        <v>0</v>
      </c>
      <c r="HE29" s="191">
        <v>0</v>
      </c>
      <c r="HF29" s="191">
        <v>0</v>
      </c>
      <c r="HG29" s="191">
        <v>0</v>
      </c>
      <c r="HH29" s="191">
        <v>0</v>
      </c>
      <c r="HI29" s="191">
        <v>0</v>
      </c>
      <c r="HJ29" s="191">
        <v>0</v>
      </c>
      <c r="HK29" s="191">
        <v>0</v>
      </c>
      <c r="HL29" s="191">
        <v>0</v>
      </c>
      <c r="HM29" s="191">
        <v>0</v>
      </c>
      <c r="HN29" s="191">
        <f>SUM(HB29:HM29)</f>
        <v>0</v>
      </c>
      <c r="HO29" s="191">
        <v>0</v>
      </c>
      <c r="HP29" s="191">
        <v>0</v>
      </c>
      <c r="HQ29" s="191">
        <v>0</v>
      </c>
      <c r="HR29" s="191">
        <v>0</v>
      </c>
      <c r="HS29" s="191">
        <v>0</v>
      </c>
      <c r="HT29" s="191">
        <v>0</v>
      </c>
      <c r="HU29" s="410">
        <v>0</v>
      </c>
      <c r="HV29" s="191">
        <v>0</v>
      </c>
      <c r="HW29" s="191">
        <v>0</v>
      </c>
      <c r="HX29" s="191">
        <v>0</v>
      </c>
      <c r="HY29" s="191">
        <v>0</v>
      </c>
      <c r="HZ29" s="410">
        <v>0</v>
      </c>
      <c r="IA29" s="191">
        <v>0</v>
      </c>
      <c r="IB29" s="191">
        <v>0</v>
      </c>
      <c r="IC29" s="191">
        <v>0</v>
      </c>
      <c r="ID29" s="191">
        <v>0</v>
      </c>
      <c r="IE29" s="191">
        <v>0</v>
      </c>
      <c r="IF29" s="191">
        <v>0</v>
      </c>
      <c r="IG29" s="410">
        <v>0</v>
      </c>
      <c r="IH29" s="410">
        <v>0</v>
      </c>
      <c r="II29" s="410">
        <v>0</v>
      </c>
      <c r="IJ29" s="410">
        <v>0</v>
      </c>
      <c r="IK29" s="410">
        <v>0</v>
      </c>
      <c r="IL29" s="410">
        <v>0</v>
      </c>
      <c r="IM29" s="410">
        <v>0</v>
      </c>
      <c r="IN29" s="410">
        <v>0</v>
      </c>
      <c r="IO29" s="410">
        <v>0</v>
      </c>
      <c r="IP29" s="410">
        <v>0</v>
      </c>
      <c r="IQ29" s="410">
        <v>0</v>
      </c>
      <c r="IR29" s="410">
        <v>0</v>
      </c>
      <c r="IS29" s="410">
        <v>0</v>
      </c>
      <c r="IT29" s="410">
        <v>0</v>
      </c>
      <c r="IU29" s="410">
        <v>0</v>
      </c>
      <c r="IV29" s="410">
        <v>0</v>
      </c>
      <c r="IW29" s="410">
        <v>0</v>
      </c>
      <c r="IX29" s="410">
        <v>0</v>
      </c>
      <c r="IY29" s="410">
        <v>0</v>
      </c>
      <c r="IZ29" s="410">
        <v>0</v>
      </c>
      <c r="JA29" s="410"/>
      <c r="JB29" s="410"/>
      <c r="JC29" s="410"/>
      <c r="JD29" s="410"/>
      <c r="JE29" s="410"/>
      <c r="JF29" s="410"/>
      <c r="JG29" s="410"/>
      <c r="JH29" s="410"/>
      <c r="JI29" s="410"/>
      <c r="JJ29" s="410"/>
      <c r="JK29" s="410">
        <f>+IM29+IN29</f>
        <v>0</v>
      </c>
      <c r="JL29" s="410">
        <f>+IY29+IZ29</f>
        <v>0</v>
      </c>
      <c r="JM29" s="11"/>
      <c r="JN29" s="10"/>
      <c r="JO29" s="10"/>
      <c r="JP29" s="17"/>
      <c r="JQ29" s="10"/>
      <c r="JR29" s="10"/>
      <c r="JS29" s="10"/>
      <c r="JT29" s="9"/>
      <c r="JU29" s="11"/>
    </row>
    <row r="30" spans="1:281" x14ac:dyDescent="0.25">
      <c r="A30" s="91" t="s">
        <v>42</v>
      </c>
      <c r="B30" s="34"/>
      <c r="C30" s="34"/>
      <c r="D30" s="34"/>
      <c r="E30" s="79">
        <v>726</v>
      </c>
      <c r="F30" s="79">
        <v>527</v>
      </c>
      <c r="G30" s="79">
        <v>291</v>
      </c>
      <c r="H30" s="79">
        <v>647</v>
      </c>
      <c r="I30" s="79">
        <v>2030</v>
      </c>
      <c r="J30" s="79">
        <v>7553</v>
      </c>
      <c r="K30" s="79">
        <v>7711</v>
      </c>
      <c r="L30" s="79">
        <v>5448</v>
      </c>
      <c r="M30" s="79">
        <v>5922</v>
      </c>
      <c r="N30" s="92">
        <v>2631</v>
      </c>
      <c r="O30" s="101" t="s">
        <v>80</v>
      </c>
      <c r="P30" s="101" t="s">
        <v>80</v>
      </c>
      <c r="Q30" s="101">
        <v>372</v>
      </c>
      <c r="R30" s="93">
        <v>843</v>
      </c>
      <c r="S30" s="92">
        <v>106</v>
      </c>
      <c r="T30" s="102" t="s">
        <v>29</v>
      </c>
      <c r="U30" s="101">
        <v>204</v>
      </c>
      <c r="V30" s="69">
        <v>212</v>
      </c>
      <c r="W30" s="93">
        <v>106</v>
      </c>
      <c r="X30" s="93">
        <v>107</v>
      </c>
      <c r="Y30" s="94">
        <v>108</v>
      </c>
      <c r="Z30" s="107" t="s">
        <v>29</v>
      </c>
      <c r="AA30" s="107" t="s">
        <v>29</v>
      </c>
      <c r="AB30" s="103" t="s">
        <v>80</v>
      </c>
      <c r="AC30" s="103" t="s">
        <v>80</v>
      </c>
      <c r="AD30" s="104" t="s">
        <v>29</v>
      </c>
      <c r="AE30" s="94">
        <f>SUM(S30:AD30)</f>
        <v>843</v>
      </c>
      <c r="AF30" s="93">
        <v>88</v>
      </c>
      <c r="AG30" s="101" t="s">
        <v>29</v>
      </c>
      <c r="AH30" s="105" t="s">
        <v>29</v>
      </c>
      <c r="AI30" s="105" t="s">
        <v>29</v>
      </c>
      <c r="AJ30" s="105" t="s">
        <v>29</v>
      </c>
      <c r="AK30" s="101" t="s">
        <v>29</v>
      </c>
      <c r="AL30" s="101" t="s">
        <v>29</v>
      </c>
      <c r="AM30" s="101" t="s">
        <v>29</v>
      </c>
      <c r="AN30" s="101" t="s">
        <v>29</v>
      </c>
      <c r="AO30" s="101" t="s">
        <v>29</v>
      </c>
      <c r="AP30" s="101" t="s">
        <v>29</v>
      </c>
      <c r="AQ30" s="101" t="s">
        <v>29</v>
      </c>
      <c r="AR30" s="101" t="s">
        <v>29</v>
      </c>
      <c r="AS30" s="101" t="s">
        <v>29</v>
      </c>
      <c r="AT30" s="101" t="s">
        <v>29</v>
      </c>
      <c r="AU30" s="101" t="s">
        <v>29</v>
      </c>
      <c r="AV30" s="101" t="s">
        <v>29</v>
      </c>
      <c r="AW30" s="101" t="s">
        <v>29</v>
      </c>
      <c r="AX30" s="101" t="s">
        <v>29</v>
      </c>
      <c r="AY30" s="101" t="s">
        <v>29</v>
      </c>
      <c r="AZ30" s="101" t="s">
        <v>29</v>
      </c>
      <c r="BA30" s="101" t="s">
        <v>29</v>
      </c>
      <c r="BB30" s="101">
        <v>0</v>
      </c>
      <c r="BC30" s="101" t="s">
        <v>29</v>
      </c>
      <c r="BD30" s="101" t="s">
        <v>29</v>
      </c>
      <c r="BE30" s="101" t="s">
        <v>29</v>
      </c>
      <c r="BF30" s="191">
        <v>0</v>
      </c>
      <c r="BG30" s="191">
        <v>0</v>
      </c>
      <c r="BH30" s="191">
        <v>0</v>
      </c>
      <c r="BI30" s="191">
        <v>0</v>
      </c>
      <c r="BJ30" s="191">
        <v>0</v>
      </c>
      <c r="BK30" s="191">
        <v>0</v>
      </c>
      <c r="BL30" s="191">
        <v>0</v>
      </c>
      <c r="BM30" s="191">
        <v>0</v>
      </c>
      <c r="BN30" s="191">
        <v>0</v>
      </c>
      <c r="BO30" s="191">
        <v>0</v>
      </c>
      <c r="BP30" s="333">
        <v>0</v>
      </c>
      <c r="BQ30" s="191">
        <v>0</v>
      </c>
      <c r="BR30" s="191">
        <v>0</v>
      </c>
      <c r="BS30" s="191">
        <v>0</v>
      </c>
      <c r="BT30" s="191">
        <v>0</v>
      </c>
      <c r="BU30" s="191">
        <v>0</v>
      </c>
      <c r="BV30" s="191">
        <v>0</v>
      </c>
      <c r="BW30" s="191">
        <v>0</v>
      </c>
      <c r="BX30" s="191">
        <v>0</v>
      </c>
      <c r="BY30" s="191">
        <v>0</v>
      </c>
      <c r="BZ30" s="191">
        <v>0</v>
      </c>
      <c r="CA30" s="191">
        <v>0</v>
      </c>
      <c r="CB30" s="191">
        <v>0</v>
      </c>
      <c r="CC30" s="191">
        <v>0</v>
      </c>
      <c r="CD30" s="191">
        <v>0</v>
      </c>
      <c r="CE30" s="191">
        <v>0</v>
      </c>
      <c r="CF30" s="191">
        <v>0</v>
      </c>
      <c r="CG30" s="191">
        <v>0</v>
      </c>
      <c r="CH30" s="191">
        <v>0</v>
      </c>
      <c r="CI30" s="191">
        <v>0</v>
      </c>
      <c r="CJ30" s="191">
        <v>0</v>
      </c>
      <c r="CK30" s="191">
        <v>0</v>
      </c>
      <c r="CL30" s="191">
        <v>0</v>
      </c>
      <c r="CM30" s="191">
        <v>0</v>
      </c>
      <c r="CN30" s="191">
        <v>0</v>
      </c>
      <c r="CO30" s="191">
        <v>0</v>
      </c>
      <c r="CP30" s="191">
        <v>0</v>
      </c>
      <c r="CQ30" s="191">
        <v>0</v>
      </c>
      <c r="CR30" s="191">
        <v>0</v>
      </c>
      <c r="CS30" s="191">
        <v>0</v>
      </c>
      <c r="CT30" s="191">
        <v>0</v>
      </c>
      <c r="CU30" s="191">
        <v>0</v>
      </c>
      <c r="CV30" s="191">
        <v>0</v>
      </c>
      <c r="CW30" s="191">
        <v>0</v>
      </c>
      <c r="CX30" s="191">
        <v>0</v>
      </c>
      <c r="CY30" s="191">
        <v>0</v>
      </c>
      <c r="CZ30" s="191">
        <v>0</v>
      </c>
      <c r="DA30" s="191">
        <v>0</v>
      </c>
      <c r="DB30" s="191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  <c r="DT30" s="191">
        <v>0</v>
      </c>
      <c r="DU30" s="191">
        <v>0</v>
      </c>
      <c r="DV30" s="191">
        <v>0</v>
      </c>
      <c r="DW30" s="191">
        <v>0</v>
      </c>
      <c r="DX30" s="191">
        <v>0</v>
      </c>
      <c r="DY30" s="191">
        <v>0</v>
      </c>
      <c r="DZ30" s="191">
        <v>0</v>
      </c>
      <c r="EA30" s="191">
        <v>0</v>
      </c>
      <c r="EB30" s="191">
        <v>0</v>
      </c>
      <c r="EC30" s="191">
        <v>0</v>
      </c>
      <c r="ED30" s="191">
        <v>0</v>
      </c>
      <c r="EE30" s="191">
        <v>0</v>
      </c>
      <c r="EF30" s="191">
        <v>0</v>
      </c>
      <c r="EG30" s="191">
        <v>0</v>
      </c>
      <c r="EH30" s="191">
        <v>0</v>
      </c>
      <c r="EI30" s="191">
        <v>0</v>
      </c>
      <c r="EJ30" s="191">
        <v>0</v>
      </c>
      <c r="EK30" s="191">
        <v>0</v>
      </c>
      <c r="EL30" s="191">
        <v>0</v>
      </c>
      <c r="EM30" s="191">
        <v>0</v>
      </c>
      <c r="EN30" s="191">
        <v>0</v>
      </c>
      <c r="EO30" s="191">
        <v>0</v>
      </c>
      <c r="EP30" s="191">
        <v>0</v>
      </c>
      <c r="EQ30" s="191">
        <v>0</v>
      </c>
      <c r="ER30" s="191">
        <v>0</v>
      </c>
      <c r="ES30" s="191">
        <v>0</v>
      </c>
      <c r="ET30" s="191">
        <v>0</v>
      </c>
      <c r="EU30" s="191">
        <v>0</v>
      </c>
      <c r="EV30" s="191">
        <v>0</v>
      </c>
      <c r="EW30" s="191">
        <v>0</v>
      </c>
      <c r="EX30" s="191">
        <v>0</v>
      </c>
      <c r="EY30" s="191">
        <v>0</v>
      </c>
      <c r="EZ30" s="191">
        <v>0</v>
      </c>
      <c r="FA30" s="191">
        <v>0</v>
      </c>
      <c r="FB30" s="191">
        <v>0</v>
      </c>
      <c r="FC30" s="191">
        <v>0</v>
      </c>
      <c r="FD30" s="191">
        <v>0</v>
      </c>
      <c r="FE30" s="191">
        <v>0</v>
      </c>
      <c r="FF30" s="191">
        <v>0</v>
      </c>
      <c r="FG30" s="191">
        <v>0</v>
      </c>
      <c r="FH30" s="191">
        <v>0</v>
      </c>
      <c r="FI30" s="191">
        <v>0</v>
      </c>
      <c r="FJ30" s="191">
        <v>0</v>
      </c>
      <c r="FK30" s="191">
        <v>0</v>
      </c>
      <c r="FL30" s="191">
        <v>0</v>
      </c>
      <c r="FM30" s="191">
        <v>0</v>
      </c>
      <c r="FN30" s="191">
        <v>0</v>
      </c>
      <c r="FO30" s="191">
        <v>0</v>
      </c>
      <c r="FP30" s="191">
        <v>0</v>
      </c>
      <c r="FQ30" s="191">
        <v>0</v>
      </c>
      <c r="FR30" s="191">
        <v>0</v>
      </c>
      <c r="FS30" s="191">
        <v>0</v>
      </c>
      <c r="FT30" s="191">
        <v>0</v>
      </c>
      <c r="FU30" s="191">
        <v>0</v>
      </c>
      <c r="FV30" s="191">
        <v>0</v>
      </c>
      <c r="FW30" s="191">
        <v>0</v>
      </c>
      <c r="FX30" s="191">
        <v>0</v>
      </c>
      <c r="FY30" s="191">
        <v>0</v>
      </c>
      <c r="FZ30" s="191">
        <v>0</v>
      </c>
      <c r="GA30" s="191">
        <v>0</v>
      </c>
      <c r="GB30" s="191">
        <v>0</v>
      </c>
      <c r="GC30" s="191">
        <v>0</v>
      </c>
      <c r="GD30" s="191">
        <v>0</v>
      </c>
      <c r="GE30" s="191">
        <v>0</v>
      </c>
      <c r="GF30" s="191">
        <v>0</v>
      </c>
      <c r="GG30" s="191">
        <v>0</v>
      </c>
      <c r="GH30" s="191">
        <v>0</v>
      </c>
      <c r="GI30" s="191">
        <v>0</v>
      </c>
      <c r="GJ30" s="191">
        <v>0</v>
      </c>
      <c r="GK30" s="191">
        <v>0</v>
      </c>
      <c r="GL30" s="191">
        <v>0</v>
      </c>
      <c r="GM30" s="191">
        <v>0</v>
      </c>
      <c r="GN30" s="191">
        <v>0</v>
      </c>
      <c r="GO30" s="191">
        <f>SUM(GC30:GN30)</f>
        <v>0</v>
      </c>
      <c r="GP30" s="191">
        <v>0</v>
      </c>
      <c r="GQ30" s="191">
        <v>0</v>
      </c>
      <c r="GR30" s="191">
        <v>0</v>
      </c>
      <c r="GS30" s="191">
        <v>0</v>
      </c>
      <c r="GT30" s="191">
        <v>0</v>
      </c>
      <c r="GU30" s="191">
        <v>0</v>
      </c>
      <c r="GV30" s="191">
        <v>0</v>
      </c>
      <c r="GW30" s="191">
        <v>0</v>
      </c>
      <c r="GX30" s="191" t="s">
        <v>29</v>
      </c>
      <c r="GY30" s="191">
        <v>0</v>
      </c>
      <c r="GZ30" s="191">
        <v>0</v>
      </c>
      <c r="HA30" s="191">
        <v>0</v>
      </c>
      <c r="HB30" s="191">
        <v>0</v>
      </c>
      <c r="HC30" s="191">
        <v>0</v>
      </c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>
        <f>SUM(HB30:HM30)</f>
        <v>0</v>
      </c>
      <c r="HO30" s="191">
        <v>0</v>
      </c>
      <c r="HP30" s="191">
        <v>0</v>
      </c>
      <c r="HQ30" s="191">
        <v>0</v>
      </c>
      <c r="HR30" s="191">
        <v>0</v>
      </c>
      <c r="HS30" s="191">
        <v>0</v>
      </c>
      <c r="HT30" s="191">
        <v>0</v>
      </c>
      <c r="HU30" s="410">
        <v>0</v>
      </c>
      <c r="HV30" s="191">
        <v>0</v>
      </c>
      <c r="HW30" s="191">
        <v>0</v>
      </c>
      <c r="HX30" s="191">
        <v>0</v>
      </c>
      <c r="HY30" s="191">
        <v>0</v>
      </c>
      <c r="HZ30" s="410">
        <v>0</v>
      </c>
      <c r="IA30" s="191">
        <v>0</v>
      </c>
      <c r="IB30" s="191">
        <v>0</v>
      </c>
      <c r="IC30" s="191">
        <v>0</v>
      </c>
      <c r="ID30" s="191">
        <v>0</v>
      </c>
      <c r="IE30" s="191">
        <v>0</v>
      </c>
      <c r="IF30" s="191">
        <v>0</v>
      </c>
      <c r="IG30" s="410">
        <v>0</v>
      </c>
      <c r="IH30" s="410">
        <v>0</v>
      </c>
      <c r="II30" s="410">
        <v>0</v>
      </c>
      <c r="IJ30" s="410">
        <v>0</v>
      </c>
      <c r="IK30" s="410">
        <v>0</v>
      </c>
      <c r="IL30" s="410">
        <v>0</v>
      </c>
      <c r="IM30" s="410">
        <v>0</v>
      </c>
      <c r="IN30" s="410">
        <v>0</v>
      </c>
      <c r="IO30" s="410">
        <v>0</v>
      </c>
      <c r="IP30" s="410">
        <v>0</v>
      </c>
      <c r="IQ30" s="410">
        <v>0</v>
      </c>
      <c r="IR30" s="410">
        <v>0</v>
      </c>
      <c r="IS30" s="410">
        <v>0</v>
      </c>
      <c r="IT30" s="410">
        <v>0</v>
      </c>
      <c r="IU30" s="410">
        <v>0</v>
      </c>
      <c r="IV30" s="410">
        <v>0</v>
      </c>
      <c r="IW30" s="410">
        <v>0</v>
      </c>
      <c r="IX30" s="410">
        <v>0</v>
      </c>
      <c r="IY30" s="410">
        <v>0</v>
      </c>
      <c r="IZ30" s="410">
        <v>0</v>
      </c>
      <c r="JA30" s="410"/>
      <c r="JB30" s="410"/>
      <c r="JC30" s="410"/>
      <c r="JD30" s="410"/>
      <c r="JE30" s="410"/>
      <c r="JF30" s="410"/>
      <c r="JG30" s="410"/>
      <c r="JH30" s="410"/>
      <c r="JI30" s="410"/>
      <c r="JJ30" s="410"/>
      <c r="JK30" s="410">
        <f t="shared" ref="JK30:JK32" si="48">+IM30+IN30</f>
        <v>0</v>
      </c>
      <c r="JL30" s="410">
        <f t="shared" ref="JL30:JL32" si="49">+IY30+IZ30</f>
        <v>0</v>
      </c>
      <c r="JM30" s="11"/>
      <c r="JN30" s="12"/>
      <c r="JO30" s="11"/>
      <c r="JP30" s="12"/>
      <c r="JQ30" s="13"/>
      <c r="JR30" s="11"/>
      <c r="JS30" s="11"/>
      <c r="JT30" s="11"/>
      <c r="JU30" s="11"/>
    </row>
    <row r="31" spans="1:281" x14ac:dyDescent="0.25">
      <c r="A31" s="91" t="s">
        <v>43</v>
      </c>
      <c r="B31" s="34"/>
      <c r="C31" s="34"/>
      <c r="D31" s="34"/>
      <c r="E31" s="79">
        <v>2617</v>
      </c>
      <c r="F31" s="79">
        <v>1626</v>
      </c>
      <c r="G31" s="79">
        <v>4235</v>
      </c>
      <c r="H31" s="79">
        <v>4712</v>
      </c>
      <c r="I31" s="79">
        <v>5193</v>
      </c>
      <c r="J31" s="79">
        <v>15719</v>
      </c>
      <c r="K31" s="79">
        <v>20317</v>
      </c>
      <c r="L31" s="79">
        <v>15689</v>
      </c>
      <c r="M31" s="79">
        <v>11605</v>
      </c>
      <c r="N31" s="92">
        <v>8741</v>
      </c>
      <c r="O31" s="93">
        <v>5385</v>
      </c>
      <c r="P31" s="114">
        <v>2184</v>
      </c>
      <c r="Q31" s="93">
        <v>10955</v>
      </c>
      <c r="R31" s="93">
        <v>8793.134</v>
      </c>
      <c r="S31" s="92">
        <v>470</v>
      </c>
      <c r="T31" s="92">
        <v>1371</v>
      </c>
      <c r="U31" s="101">
        <v>1025</v>
      </c>
      <c r="V31" s="69">
        <v>1219</v>
      </c>
      <c r="W31" s="93">
        <v>1808</v>
      </c>
      <c r="X31" s="93">
        <v>803</v>
      </c>
      <c r="Y31" s="94">
        <v>114</v>
      </c>
      <c r="Z31" s="93">
        <v>687</v>
      </c>
      <c r="AA31" s="93">
        <v>343</v>
      </c>
      <c r="AB31" s="93">
        <v>607</v>
      </c>
      <c r="AC31" s="103" t="s">
        <v>80</v>
      </c>
      <c r="AD31" s="93">
        <v>346.13400000000001</v>
      </c>
      <c r="AE31" s="94">
        <f>SUM(S31:AD31)</f>
        <v>8793.134</v>
      </c>
      <c r="AF31" s="93">
        <v>1011.9639999999999</v>
      </c>
      <c r="AG31" s="93">
        <v>4356</v>
      </c>
      <c r="AH31" s="105">
        <v>5124</v>
      </c>
      <c r="AI31" s="105">
        <v>4366</v>
      </c>
      <c r="AJ31" s="105">
        <v>2153</v>
      </c>
      <c r="AK31" s="105">
        <v>3338</v>
      </c>
      <c r="AL31" s="105">
        <v>46.2</v>
      </c>
      <c r="AM31" s="105">
        <v>335.39</v>
      </c>
      <c r="AN31" s="101">
        <v>335.39</v>
      </c>
      <c r="AO31" s="101" t="s">
        <v>29</v>
      </c>
      <c r="AP31" s="101" t="s">
        <v>29</v>
      </c>
      <c r="AQ31" s="101" t="s">
        <v>29</v>
      </c>
      <c r="AR31" s="101" t="s">
        <v>29</v>
      </c>
      <c r="AS31" s="101" t="s">
        <v>29</v>
      </c>
      <c r="AT31" s="101" t="s">
        <v>29</v>
      </c>
      <c r="AU31" s="101" t="s">
        <v>29</v>
      </c>
      <c r="AV31" s="101" t="s">
        <v>29</v>
      </c>
      <c r="AW31" s="101" t="s">
        <v>29</v>
      </c>
      <c r="AX31" s="101" t="s">
        <v>29</v>
      </c>
      <c r="AY31" s="101" t="s">
        <v>29</v>
      </c>
      <c r="AZ31" s="69">
        <f>SUM(AN31:AY31)</f>
        <v>335.39</v>
      </c>
      <c r="BA31" s="191">
        <v>0</v>
      </c>
      <c r="BB31" s="191">
        <v>0</v>
      </c>
      <c r="BC31" s="191">
        <v>0</v>
      </c>
      <c r="BD31" s="191">
        <v>0</v>
      </c>
      <c r="BE31" s="191">
        <v>0</v>
      </c>
      <c r="BF31" s="191">
        <v>0</v>
      </c>
      <c r="BG31" s="191">
        <v>4372.2999999999993</v>
      </c>
      <c r="BH31" s="191">
        <v>4572.38</v>
      </c>
      <c r="BI31" s="191">
        <v>4105.6099999999997</v>
      </c>
      <c r="BJ31" s="191">
        <v>7061.049</v>
      </c>
      <c r="BK31" s="191">
        <v>7845</v>
      </c>
      <c r="BL31" s="191">
        <v>2824.68</v>
      </c>
      <c r="BM31" s="191">
        <v>2612.4749999999999</v>
      </c>
      <c r="BN31" s="191">
        <v>1655.25</v>
      </c>
      <c r="BO31" s="191">
        <v>1280.0300000000002</v>
      </c>
      <c r="BP31" s="333">
        <v>0</v>
      </c>
      <c r="BQ31" s="191">
        <v>336.05</v>
      </c>
      <c r="BR31" s="191">
        <v>0</v>
      </c>
      <c r="BS31" s="191">
        <v>0</v>
      </c>
      <c r="BT31" s="191">
        <v>338.3</v>
      </c>
      <c r="BU31" s="191">
        <v>314.5</v>
      </c>
      <c r="BV31" s="191">
        <v>0</v>
      </c>
      <c r="BW31" s="191">
        <v>338.3</v>
      </c>
      <c r="BX31" s="191">
        <v>328.1</v>
      </c>
      <c r="BY31" s="191">
        <v>0</v>
      </c>
      <c r="BZ31" s="191">
        <v>0</v>
      </c>
      <c r="CA31" s="191">
        <v>1655.25</v>
      </c>
      <c r="CB31" s="191" t="s">
        <v>29</v>
      </c>
      <c r="CC31" s="191" t="s">
        <v>29</v>
      </c>
      <c r="CD31" s="191" t="s">
        <v>29</v>
      </c>
      <c r="CE31" s="191" t="s">
        <v>29</v>
      </c>
      <c r="CF31" s="191" t="s">
        <v>29</v>
      </c>
      <c r="CG31" s="191" t="s">
        <v>29</v>
      </c>
      <c r="CH31" s="191" t="s">
        <v>29</v>
      </c>
      <c r="CI31" s="191" t="s">
        <v>29</v>
      </c>
      <c r="CJ31" s="191" t="s">
        <v>29</v>
      </c>
      <c r="CK31" s="191" t="s">
        <v>29</v>
      </c>
      <c r="CL31" s="191" t="s">
        <v>29</v>
      </c>
      <c r="CM31" s="191" t="s">
        <v>29</v>
      </c>
      <c r="CN31" s="191" t="s">
        <v>29</v>
      </c>
      <c r="CO31" s="191" t="s">
        <v>29</v>
      </c>
      <c r="CP31" s="191" t="s">
        <v>29</v>
      </c>
      <c r="CQ31" s="191" t="s">
        <v>29</v>
      </c>
      <c r="CR31" s="191" t="s">
        <v>29</v>
      </c>
      <c r="CS31" s="191" t="s">
        <v>29</v>
      </c>
      <c r="CT31" s="191" t="s">
        <v>29</v>
      </c>
      <c r="CU31" s="191" t="s">
        <v>29</v>
      </c>
      <c r="CV31" s="191" t="s">
        <v>29</v>
      </c>
      <c r="CW31" s="191" t="s">
        <v>29</v>
      </c>
      <c r="CX31" s="191" t="s">
        <v>29</v>
      </c>
      <c r="CY31" s="191" t="s">
        <v>29</v>
      </c>
      <c r="CZ31" s="191" t="s">
        <v>29</v>
      </c>
      <c r="DA31" s="191" t="s">
        <v>29</v>
      </c>
      <c r="DB31" s="191"/>
      <c r="DC31" s="191" t="s">
        <v>29</v>
      </c>
      <c r="DD31" s="191" t="s">
        <v>29</v>
      </c>
      <c r="DE31" s="191" t="s">
        <v>29</v>
      </c>
      <c r="DF31" s="191" t="s">
        <v>29</v>
      </c>
      <c r="DG31" s="191" t="s">
        <v>29</v>
      </c>
      <c r="DH31" s="191" t="s">
        <v>29</v>
      </c>
      <c r="DI31" s="191" t="s">
        <v>29</v>
      </c>
      <c r="DJ31" s="191"/>
      <c r="DK31" s="191" t="s">
        <v>29</v>
      </c>
      <c r="DL31" s="191" t="s">
        <v>29</v>
      </c>
      <c r="DM31" s="191" t="s">
        <v>29</v>
      </c>
      <c r="DN31" s="191" t="s">
        <v>29</v>
      </c>
      <c r="DO31" s="191" t="s">
        <v>29</v>
      </c>
      <c r="DP31" s="191" t="s">
        <v>29</v>
      </c>
      <c r="DQ31" s="191">
        <v>0</v>
      </c>
      <c r="DR31" s="191">
        <v>0</v>
      </c>
      <c r="DS31" s="191">
        <v>0</v>
      </c>
      <c r="DT31" s="191" t="s">
        <v>29</v>
      </c>
      <c r="DU31" s="191" t="s">
        <v>29</v>
      </c>
      <c r="DV31" s="191" t="s">
        <v>29</v>
      </c>
      <c r="DW31" s="191" t="s">
        <v>29</v>
      </c>
      <c r="DX31" s="191" t="s">
        <v>29</v>
      </c>
      <c r="DY31" s="191">
        <v>0</v>
      </c>
      <c r="DZ31" s="191"/>
      <c r="EA31" s="191" t="s">
        <v>29</v>
      </c>
      <c r="EB31" s="191">
        <v>0</v>
      </c>
      <c r="EC31" s="191">
        <v>0</v>
      </c>
      <c r="ED31" s="191">
        <v>0</v>
      </c>
      <c r="EE31" s="191">
        <v>0</v>
      </c>
      <c r="EF31" s="191">
        <v>0</v>
      </c>
      <c r="EG31" s="191">
        <v>0</v>
      </c>
      <c r="EH31" s="191">
        <v>0</v>
      </c>
      <c r="EI31" s="191" t="s">
        <v>29</v>
      </c>
      <c r="EJ31" s="191">
        <v>0</v>
      </c>
      <c r="EK31" s="191">
        <v>0</v>
      </c>
      <c r="EL31" s="191">
        <v>0</v>
      </c>
      <c r="EM31" s="191">
        <v>0</v>
      </c>
      <c r="EN31" s="191">
        <v>0</v>
      </c>
      <c r="EO31" s="191">
        <v>0</v>
      </c>
      <c r="EP31" s="191">
        <v>0</v>
      </c>
      <c r="EQ31" s="191">
        <v>0</v>
      </c>
      <c r="ER31" s="191">
        <v>861.3</v>
      </c>
      <c r="ES31" s="191"/>
      <c r="ET31" s="191">
        <v>126.95</v>
      </c>
      <c r="EU31" s="191">
        <v>101</v>
      </c>
      <c r="EV31" s="191">
        <v>254.75</v>
      </c>
      <c r="EW31" s="191">
        <v>0</v>
      </c>
      <c r="EX31" s="191">
        <v>1246.2</v>
      </c>
      <c r="EY31" s="191">
        <v>323.7</v>
      </c>
      <c r="EZ31" s="191">
        <v>571.1</v>
      </c>
      <c r="FA31" s="191">
        <v>887.3</v>
      </c>
      <c r="FB31" s="191">
        <f>SUM(EP31:FA31)</f>
        <v>4372.2999999999993</v>
      </c>
      <c r="FC31" s="191">
        <v>248.35</v>
      </c>
      <c r="FD31" s="191">
        <v>574.29999999999995</v>
      </c>
      <c r="FE31" s="191">
        <v>98.55</v>
      </c>
      <c r="FF31" s="191">
        <v>1386.3</v>
      </c>
      <c r="FG31" s="191">
        <v>317</v>
      </c>
      <c r="FH31" s="191">
        <v>559.4</v>
      </c>
      <c r="FI31" s="191">
        <v>441.05</v>
      </c>
      <c r="FJ31" s="191">
        <v>258.85000000000002</v>
      </c>
      <c r="FK31" s="191">
        <v>64.650000000000006</v>
      </c>
      <c r="FL31" s="191">
        <v>483.63</v>
      </c>
      <c r="FM31" s="191">
        <v>0</v>
      </c>
      <c r="FN31" s="191">
        <v>140.30000000000001</v>
      </c>
      <c r="FO31" s="191">
        <f>SUM(FC31:FN31)</f>
        <v>4572.38</v>
      </c>
      <c r="FP31" s="191">
        <v>0</v>
      </c>
      <c r="FQ31" s="191">
        <v>0</v>
      </c>
      <c r="FR31" s="191">
        <v>495.05</v>
      </c>
      <c r="FS31" s="191">
        <v>329.8</v>
      </c>
      <c r="FT31" s="191">
        <v>324.14999999999998</v>
      </c>
      <c r="FU31" s="191">
        <v>0</v>
      </c>
      <c r="FV31" s="191">
        <v>780.25</v>
      </c>
      <c r="FW31" s="191">
        <v>57.2</v>
      </c>
      <c r="FX31" s="191">
        <v>407.25</v>
      </c>
      <c r="FY31" s="191">
        <v>488.4</v>
      </c>
      <c r="FZ31" s="191">
        <v>860.91</v>
      </c>
      <c r="GA31" s="191">
        <v>362.6</v>
      </c>
      <c r="GB31" s="191">
        <f>SUM(FP31:GA31)</f>
        <v>4105.6099999999997</v>
      </c>
      <c r="GC31" s="191">
        <v>1027.855</v>
      </c>
      <c r="GD31" s="191">
        <v>692.79399999999998</v>
      </c>
      <c r="GE31" s="191">
        <v>500.15</v>
      </c>
      <c r="GF31" s="191">
        <v>623.1</v>
      </c>
      <c r="GG31" s="191">
        <v>337.25</v>
      </c>
      <c r="GH31" s="191">
        <v>683.35</v>
      </c>
      <c r="GI31" s="191">
        <v>323.35000000000002</v>
      </c>
      <c r="GJ31" s="191">
        <v>447</v>
      </c>
      <c r="GK31" s="191">
        <v>404.65</v>
      </c>
      <c r="GL31" s="191">
        <v>692.9</v>
      </c>
      <c r="GM31" s="191">
        <v>532.04999999999995</v>
      </c>
      <c r="GN31" s="191">
        <v>796.6</v>
      </c>
      <c r="GO31" s="191">
        <f>SUM(GC31:GN31)</f>
        <v>7061.049</v>
      </c>
      <c r="GP31" s="191">
        <v>520.54999999999995</v>
      </c>
      <c r="GQ31" s="191">
        <v>735.5</v>
      </c>
      <c r="GR31" s="191">
        <v>807.5</v>
      </c>
      <c r="GS31" s="191">
        <v>1396.85</v>
      </c>
      <c r="GT31" s="191">
        <v>551</v>
      </c>
      <c r="GU31" s="191">
        <v>0</v>
      </c>
      <c r="GV31" s="191">
        <v>923.65</v>
      </c>
      <c r="GW31" s="191">
        <v>411.5</v>
      </c>
      <c r="GX31" s="191">
        <v>961.15</v>
      </c>
      <c r="GY31" s="191">
        <v>291.25</v>
      </c>
      <c r="GZ31" s="191">
        <v>362.1</v>
      </c>
      <c r="HA31" s="191">
        <v>883.95</v>
      </c>
      <c r="HB31" s="191">
        <v>889.4</v>
      </c>
      <c r="HC31" s="191">
        <v>545.4</v>
      </c>
      <c r="HD31" s="191">
        <v>449.28</v>
      </c>
      <c r="HE31" s="191"/>
      <c r="HF31" s="191">
        <v>302.95</v>
      </c>
      <c r="HG31" s="191">
        <v>0</v>
      </c>
      <c r="HH31" s="191">
        <v>0</v>
      </c>
      <c r="HI31" s="191">
        <v>330.95</v>
      </c>
      <c r="HJ31" s="191">
        <v>185.3</v>
      </c>
      <c r="HK31" s="191">
        <v>121.4</v>
      </c>
      <c r="HL31" s="191"/>
      <c r="HM31" s="191"/>
      <c r="HN31" s="191">
        <f>SUM(HB31:HM31)</f>
        <v>2824.68</v>
      </c>
      <c r="HO31" s="191">
        <v>162.6</v>
      </c>
      <c r="HP31" s="191">
        <v>435.75</v>
      </c>
      <c r="HQ31" s="191">
        <v>346.62400000000002</v>
      </c>
      <c r="HR31" s="191">
        <v>0</v>
      </c>
      <c r="HS31" s="191">
        <v>324.85000000000002</v>
      </c>
      <c r="HT31" s="191">
        <v>0</v>
      </c>
      <c r="HU31" s="410">
        <v>325.85000000000002</v>
      </c>
      <c r="HV31" s="191">
        <v>0</v>
      </c>
      <c r="HW31" s="191">
        <v>334.5</v>
      </c>
      <c r="HX31" s="191"/>
      <c r="HY31" s="191">
        <v>350.7</v>
      </c>
      <c r="HZ31" s="410">
        <v>331.601</v>
      </c>
      <c r="IA31" s="191">
        <v>0</v>
      </c>
      <c r="IB31" s="191">
        <v>0</v>
      </c>
      <c r="IC31" s="191">
        <v>336.05</v>
      </c>
      <c r="ID31" s="191">
        <v>0</v>
      </c>
      <c r="IE31" s="191">
        <v>0</v>
      </c>
      <c r="IF31" s="191">
        <v>338.3</v>
      </c>
      <c r="IG31" s="410">
        <v>314.5</v>
      </c>
      <c r="IH31" s="410">
        <v>0</v>
      </c>
      <c r="II31" s="410">
        <v>338.3</v>
      </c>
      <c r="IJ31" s="410">
        <v>328.1</v>
      </c>
      <c r="IK31" s="410">
        <v>0</v>
      </c>
      <c r="IL31" s="410">
        <v>0</v>
      </c>
      <c r="IM31" s="410">
        <v>0</v>
      </c>
      <c r="IN31" s="410">
        <v>338.45</v>
      </c>
      <c r="IO31" s="410">
        <v>0</v>
      </c>
      <c r="IP31" s="410">
        <v>0</v>
      </c>
      <c r="IQ31" s="410">
        <v>329.18</v>
      </c>
      <c r="IR31" s="410">
        <v>0</v>
      </c>
      <c r="IS31" s="410">
        <v>0</v>
      </c>
      <c r="IT31" s="410">
        <v>0</v>
      </c>
      <c r="IU31" s="410">
        <v>334.55</v>
      </c>
      <c r="IV31" s="410">
        <v>277.85000000000002</v>
      </c>
      <c r="IW31" s="410">
        <v>0</v>
      </c>
      <c r="IX31" s="410">
        <v>0</v>
      </c>
      <c r="IY31" s="410">
        <v>322.55</v>
      </c>
      <c r="IZ31" s="410">
        <v>0</v>
      </c>
      <c r="JA31" s="410"/>
      <c r="JB31" s="410"/>
      <c r="JC31" s="410"/>
      <c r="JD31" s="410"/>
      <c r="JE31" s="410"/>
      <c r="JF31" s="410"/>
      <c r="JG31" s="410"/>
      <c r="JH31" s="410"/>
      <c r="JI31" s="410"/>
      <c r="JJ31" s="410"/>
      <c r="JK31" s="410">
        <f t="shared" si="48"/>
        <v>338.45</v>
      </c>
      <c r="JL31" s="410">
        <f t="shared" si="49"/>
        <v>322.55</v>
      </c>
      <c r="JM31" s="11"/>
      <c r="JN31" s="12"/>
      <c r="JO31" s="11"/>
      <c r="JP31" s="12"/>
      <c r="JQ31" s="21"/>
      <c r="JR31" s="11"/>
      <c r="JS31" s="11"/>
      <c r="JT31" s="11"/>
      <c r="JU31" s="11"/>
    </row>
    <row r="32" spans="1:281" x14ac:dyDescent="0.25">
      <c r="A32" s="91" t="s">
        <v>44</v>
      </c>
      <c r="B32" s="34"/>
      <c r="C32" s="34"/>
      <c r="D32" s="34"/>
      <c r="E32" s="79">
        <v>70</v>
      </c>
      <c r="F32" s="79">
        <v>68</v>
      </c>
      <c r="G32" s="79">
        <v>101</v>
      </c>
      <c r="H32" s="106" t="s">
        <v>29</v>
      </c>
      <c r="I32" s="79">
        <v>345</v>
      </c>
      <c r="J32" s="79">
        <v>840</v>
      </c>
      <c r="K32" s="79">
        <v>1062</v>
      </c>
      <c r="L32" s="79">
        <v>417</v>
      </c>
      <c r="M32" s="79">
        <v>1082</v>
      </c>
      <c r="N32" s="92">
        <v>697</v>
      </c>
      <c r="O32" s="101" t="s">
        <v>80</v>
      </c>
      <c r="P32" s="92">
        <v>1092</v>
      </c>
      <c r="Q32" s="93">
        <v>194</v>
      </c>
      <c r="R32" s="93">
        <v>136.30000000000001</v>
      </c>
      <c r="S32" s="102" t="s">
        <v>29</v>
      </c>
      <c r="T32" s="102" t="s">
        <v>29</v>
      </c>
      <c r="U32" s="103" t="s">
        <v>66</v>
      </c>
      <c r="V32" s="69">
        <v>36</v>
      </c>
      <c r="W32" s="93">
        <v>64</v>
      </c>
      <c r="X32" s="93">
        <v>3</v>
      </c>
      <c r="Y32" s="108" t="s">
        <v>29</v>
      </c>
      <c r="Z32" s="107" t="s">
        <v>29</v>
      </c>
      <c r="AA32" s="104">
        <v>28</v>
      </c>
      <c r="AB32" s="103" t="s">
        <v>80</v>
      </c>
      <c r="AC32" s="94">
        <v>1</v>
      </c>
      <c r="AD32" s="93">
        <v>4.3</v>
      </c>
      <c r="AE32" s="94">
        <f>SUM(S32:AD32)</f>
        <v>136.30000000000001</v>
      </c>
      <c r="AF32" s="93">
        <v>230.34200000000001</v>
      </c>
      <c r="AG32" s="93">
        <v>338</v>
      </c>
      <c r="AH32" s="94">
        <v>404</v>
      </c>
      <c r="AI32" s="94">
        <v>236</v>
      </c>
      <c r="AJ32" s="105" t="s">
        <v>29</v>
      </c>
      <c r="AK32" s="101" t="s">
        <v>29</v>
      </c>
      <c r="AL32" s="101" t="s">
        <v>29</v>
      </c>
      <c r="AM32" s="101" t="s">
        <v>29</v>
      </c>
      <c r="AN32" s="101" t="s">
        <v>29</v>
      </c>
      <c r="AO32" s="101" t="s">
        <v>29</v>
      </c>
      <c r="AP32" s="101" t="s">
        <v>29</v>
      </c>
      <c r="AQ32" s="101" t="s">
        <v>29</v>
      </c>
      <c r="AR32" s="101" t="s">
        <v>29</v>
      </c>
      <c r="AS32" s="101" t="s">
        <v>29</v>
      </c>
      <c r="AT32" s="101" t="s">
        <v>29</v>
      </c>
      <c r="AU32" s="101" t="s">
        <v>29</v>
      </c>
      <c r="AV32" s="101" t="s">
        <v>29</v>
      </c>
      <c r="AW32" s="101" t="s">
        <v>29</v>
      </c>
      <c r="AX32" s="101" t="s">
        <v>29</v>
      </c>
      <c r="AY32" s="101" t="s">
        <v>29</v>
      </c>
      <c r="AZ32" s="101" t="s">
        <v>29</v>
      </c>
      <c r="BA32" s="101" t="s">
        <v>29</v>
      </c>
      <c r="BB32" s="101">
        <v>0</v>
      </c>
      <c r="BC32" s="101"/>
      <c r="BD32" s="101"/>
      <c r="BE32" s="101"/>
      <c r="BF32" s="191"/>
      <c r="BG32" s="191"/>
      <c r="BH32" s="191">
        <v>0</v>
      </c>
      <c r="BI32" s="191">
        <v>0</v>
      </c>
      <c r="BJ32" s="191">
        <v>0</v>
      </c>
      <c r="BK32" s="191">
        <v>98.18</v>
      </c>
      <c r="BL32" s="191">
        <v>23.5</v>
      </c>
      <c r="BM32" s="191">
        <v>6.25</v>
      </c>
      <c r="BN32" s="191">
        <v>35.538999999999994</v>
      </c>
      <c r="BO32" s="191">
        <v>39.56</v>
      </c>
      <c r="BP32" s="333">
        <v>15</v>
      </c>
      <c r="BQ32" s="191">
        <v>5</v>
      </c>
      <c r="BR32" s="191">
        <v>0</v>
      </c>
      <c r="BS32" s="191">
        <v>1.889</v>
      </c>
      <c r="BT32" s="191">
        <v>7</v>
      </c>
      <c r="BU32" s="191">
        <v>0</v>
      </c>
      <c r="BV32" s="191">
        <v>0</v>
      </c>
      <c r="BW32" s="191">
        <v>4.5</v>
      </c>
      <c r="BX32" s="191">
        <v>0</v>
      </c>
      <c r="BY32" s="191">
        <v>2.15</v>
      </c>
      <c r="BZ32" s="191">
        <v>0</v>
      </c>
      <c r="CA32" s="191">
        <v>35.538999999999994</v>
      </c>
      <c r="CB32" s="191">
        <f>SUM(BP32:BZ32)</f>
        <v>35.538999999999994</v>
      </c>
      <c r="CC32" s="191" t="s">
        <v>29</v>
      </c>
      <c r="CD32" s="191" t="s">
        <v>29</v>
      </c>
      <c r="CE32" s="191"/>
      <c r="CF32" s="191" t="s">
        <v>29</v>
      </c>
      <c r="CG32" s="191"/>
      <c r="CH32" s="191"/>
      <c r="CI32" s="191"/>
      <c r="CJ32" s="191"/>
      <c r="CK32" s="191"/>
      <c r="CL32" s="191"/>
      <c r="CM32" s="191"/>
      <c r="CN32" s="191"/>
      <c r="CO32" s="191">
        <f>SUM(CC32:CE32)</f>
        <v>0</v>
      </c>
      <c r="CP32" s="191"/>
      <c r="CQ32" s="191"/>
      <c r="CR32" s="191"/>
      <c r="CS32" s="191" t="e">
        <f>AVERAGE(CP32:CR32)</f>
        <v>#DIV/0!</v>
      </c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>
        <v>0</v>
      </c>
      <c r="GQ32" s="191">
        <v>0</v>
      </c>
      <c r="GR32" s="191">
        <v>5.25</v>
      </c>
      <c r="GS32" s="191">
        <v>0</v>
      </c>
      <c r="GT32" s="191">
        <v>16.7</v>
      </c>
      <c r="GU32" s="191">
        <v>21.5</v>
      </c>
      <c r="GV32" s="191">
        <v>1.17</v>
      </c>
      <c r="GW32" s="191"/>
      <c r="GX32" s="191">
        <v>37.35</v>
      </c>
      <c r="GY32" s="191">
        <v>16.21</v>
      </c>
      <c r="GZ32" s="191"/>
      <c r="HA32" s="191">
        <v>0</v>
      </c>
      <c r="HB32" s="191">
        <v>0</v>
      </c>
      <c r="HC32" s="191">
        <v>0</v>
      </c>
      <c r="HD32" s="191">
        <v>11.5</v>
      </c>
      <c r="HE32" s="191">
        <v>7</v>
      </c>
      <c r="HF32" s="191">
        <v>0</v>
      </c>
      <c r="HG32" s="191">
        <v>5</v>
      </c>
      <c r="HH32" s="191">
        <v>0</v>
      </c>
      <c r="HI32" s="191">
        <v>0</v>
      </c>
      <c r="HJ32" s="191">
        <v>0</v>
      </c>
      <c r="HK32" s="191">
        <v>0</v>
      </c>
      <c r="HL32" s="191">
        <v>0</v>
      </c>
      <c r="HM32" s="191">
        <v>0</v>
      </c>
      <c r="HN32" s="191">
        <f>SUM(HB32:HL32)</f>
        <v>23.5</v>
      </c>
      <c r="HO32" s="191">
        <v>0</v>
      </c>
      <c r="HP32" s="191">
        <v>0</v>
      </c>
      <c r="HQ32" s="191">
        <v>0</v>
      </c>
      <c r="HR32" s="191">
        <v>0</v>
      </c>
      <c r="HS32" s="191">
        <v>0</v>
      </c>
      <c r="HT32" s="191">
        <v>6.25</v>
      </c>
      <c r="HU32" s="410">
        <v>0</v>
      </c>
      <c r="HV32" s="191">
        <v>0</v>
      </c>
      <c r="HW32" s="191">
        <v>0</v>
      </c>
      <c r="HX32" s="191">
        <v>0</v>
      </c>
      <c r="HY32" s="191">
        <v>0</v>
      </c>
      <c r="HZ32" s="410">
        <v>0</v>
      </c>
      <c r="IA32" s="410">
        <v>0</v>
      </c>
      <c r="IB32" s="191">
        <v>15</v>
      </c>
      <c r="IC32" s="191">
        <v>5</v>
      </c>
      <c r="ID32" s="191">
        <v>0</v>
      </c>
      <c r="IE32" s="191">
        <v>1.889</v>
      </c>
      <c r="IF32" s="191">
        <v>7</v>
      </c>
      <c r="IG32" s="410">
        <v>0</v>
      </c>
      <c r="IH32" s="410">
        <v>0</v>
      </c>
      <c r="II32" s="410">
        <v>4.5</v>
      </c>
      <c r="IJ32" s="410">
        <v>0</v>
      </c>
      <c r="IK32" s="410">
        <v>2.15</v>
      </c>
      <c r="IL32" s="410">
        <v>0</v>
      </c>
      <c r="IM32" s="410">
        <v>0</v>
      </c>
      <c r="IN32" s="410">
        <v>17.16</v>
      </c>
      <c r="IO32" s="410">
        <v>0</v>
      </c>
      <c r="IP32" s="410">
        <v>0</v>
      </c>
      <c r="IQ32" s="410">
        <v>0</v>
      </c>
      <c r="IR32" s="410">
        <v>5.9</v>
      </c>
      <c r="IS32" s="410">
        <v>0</v>
      </c>
      <c r="IT32" s="410">
        <v>0</v>
      </c>
      <c r="IU32" s="410">
        <v>8.5</v>
      </c>
      <c r="IV32" s="410">
        <v>8</v>
      </c>
      <c r="IW32" s="410">
        <v>0</v>
      </c>
      <c r="IX32" s="410">
        <v>0</v>
      </c>
      <c r="IY32" s="410">
        <v>8</v>
      </c>
      <c r="IZ32" s="410">
        <v>0</v>
      </c>
      <c r="JA32" s="410"/>
      <c r="JB32" s="410"/>
      <c r="JC32" s="410"/>
      <c r="JD32" s="410"/>
      <c r="JE32" s="410"/>
      <c r="JF32" s="410"/>
      <c r="JG32" s="410"/>
      <c r="JH32" s="410"/>
      <c r="JI32" s="410"/>
      <c r="JJ32" s="410"/>
      <c r="JK32" s="410">
        <f t="shared" si="48"/>
        <v>17.16</v>
      </c>
      <c r="JL32" s="410">
        <f t="shared" si="49"/>
        <v>8</v>
      </c>
      <c r="JM32" s="11"/>
      <c r="JN32" s="12"/>
      <c r="JO32" s="11"/>
      <c r="JP32" s="12"/>
      <c r="JQ32" s="13"/>
      <c r="JR32" s="11"/>
      <c r="JS32" s="10"/>
      <c r="JT32" s="11"/>
      <c r="JU32" s="11"/>
    </row>
    <row r="33" spans="1:281" x14ac:dyDescent="0.25">
      <c r="A33" s="55"/>
      <c r="B33" s="34"/>
      <c r="C33" s="34"/>
      <c r="D33" s="34"/>
      <c r="E33" s="79"/>
      <c r="F33" s="79"/>
      <c r="G33" s="79"/>
      <c r="H33" s="79"/>
      <c r="I33" s="79"/>
      <c r="J33" s="79"/>
      <c r="K33" s="79"/>
      <c r="L33" s="79"/>
      <c r="M33" s="112"/>
      <c r="N33" s="97"/>
      <c r="O33" s="98"/>
      <c r="P33" s="92"/>
      <c r="Q33" s="93"/>
      <c r="R33" s="93"/>
      <c r="S33" s="92"/>
      <c r="T33" s="92"/>
      <c r="U33" s="69"/>
      <c r="V33" s="69"/>
      <c r="W33" s="93"/>
      <c r="X33" s="93"/>
      <c r="Y33" s="94"/>
      <c r="Z33" s="93"/>
      <c r="AA33" s="93"/>
      <c r="AB33" s="93"/>
      <c r="AC33" s="94"/>
      <c r="AD33" s="93"/>
      <c r="AE33" s="94"/>
      <c r="AF33" s="93"/>
      <c r="AG33" s="93"/>
      <c r="AH33" s="94"/>
      <c r="AI33" s="94"/>
      <c r="AJ33" s="94"/>
      <c r="AK33" s="94"/>
      <c r="AL33" s="94"/>
      <c r="AM33" s="94"/>
      <c r="AN33" s="105"/>
      <c r="AO33" s="95"/>
      <c r="AP33" s="69"/>
      <c r="AQ33" s="95"/>
      <c r="AR33" s="101"/>
      <c r="AS33" s="69"/>
      <c r="AT33" s="69"/>
      <c r="AU33" s="95"/>
      <c r="AV33" s="69"/>
      <c r="AW33" s="69"/>
      <c r="AX33" s="95"/>
      <c r="AY33" s="93"/>
      <c r="AZ33" s="105"/>
      <c r="BA33" s="105"/>
      <c r="BB33" s="105"/>
      <c r="BC33" s="105"/>
      <c r="BD33" s="105"/>
      <c r="BE33" s="105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333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410"/>
      <c r="HV33" s="376"/>
      <c r="HW33" s="376"/>
      <c r="HX33" s="376"/>
      <c r="HY33" s="376"/>
      <c r="HZ33" s="409"/>
      <c r="IA33" s="392"/>
      <c r="IB33" s="392"/>
      <c r="IC33" s="392"/>
      <c r="ID33" s="392"/>
      <c r="IE33" s="392"/>
      <c r="IF33" s="392"/>
      <c r="IG33" s="436"/>
      <c r="IH33" s="436"/>
      <c r="II33" s="436"/>
      <c r="IJ33" s="436"/>
      <c r="IK33" s="436"/>
      <c r="IL33" s="436"/>
      <c r="IM33" s="436"/>
      <c r="IN33" s="436"/>
      <c r="IO33" s="436"/>
      <c r="IP33" s="436"/>
      <c r="IQ33" s="436"/>
      <c r="IR33" s="436"/>
      <c r="IS33" s="436"/>
      <c r="IT33" s="436"/>
      <c r="IU33" s="436"/>
      <c r="IV33" s="436"/>
      <c r="IW33" s="436"/>
      <c r="IX33" s="436"/>
      <c r="IY33" s="436"/>
      <c r="IZ33" s="436"/>
      <c r="JA33" s="436"/>
      <c r="JB33" s="436"/>
      <c r="JC33" s="436"/>
      <c r="JD33" s="436"/>
      <c r="JE33" s="436"/>
      <c r="JF33" s="436"/>
      <c r="JG33" s="436"/>
      <c r="JH33" s="436"/>
      <c r="JI33" s="436"/>
      <c r="JJ33" s="436"/>
      <c r="JK33" s="408"/>
      <c r="JL33" s="436"/>
      <c r="JM33" s="11"/>
      <c r="JN33" s="12"/>
      <c r="JO33" s="11"/>
      <c r="JP33" s="12"/>
      <c r="JQ33" s="13"/>
      <c r="JR33" s="10"/>
      <c r="JS33" s="10"/>
      <c r="JT33" s="11"/>
      <c r="JU33" s="11"/>
    </row>
    <row r="34" spans="1:281" s="303" customFormat="1" ht="18.75" customHeight="1" x14ac:dyDescent="0.25">
      <c r="A34" s="218" t="s">
        <v>45</v>
      </c>
      <c r="B34" s="34"/>
      <c r="C34" s="34"/>
      <c r="D34" s="34"/>
      <c r="E34" s="79">
        <f t="shared" ref="E34:K34" si="50">SUM(E36:E38)</f>
        <v>703</v>
      </c>
      <c r="F34" s="79">
        <f t="shared" si="50"/>
        <v>3232</v>
      </c>
      <c r="G34" s="79">
        <f t="shared" si="50"/>
        <v>2101</v>
      </c>
      <c r="H34" s="79">
        <f t="shared" si="50"/>
        <v>2454</v>
      </c>
      <c r="I34" s="79">
        <f t="shared" si="50"/>
        <v>1714</v>
      </c>
      <c r="J34" s="79">
        <f t="shared" si="50"/>
        <v>1714</v>
      </c>
      <c r="K34" s="79">
        <f t="shared" si="50"/>
        <v>2043</v>
      </c>
      <c r="L34" s="79">
        <v>1442</v>
      </c>
      <c r="M34" s="79">
        <v>1600</v>
      </c>
      <c r="N34" s="92">
        <v>550</v>
      </c>
      <c r="O34" s="93">
        <v>830</v>
      </c>
      <c r="P34" s="92">
        <f>SUM(P36:P38)</f>
        <v>2304</v>
      </c>
      <c r="Q34" s="93">
        <f>SUM(Q36:Q38)</f>
        <v>2453</v>
      </c>
      <c r="R34" s="93">
        <v>2648.0540000000001</v>
      </c>
      <c r="S34" s="92">
        <f t="shared" ref="S34:AA34" si="51">SUM(S36:S39)</f>
        <v>195</v>
      </c>
      <c r="T34" s="92">
        <f t="shared" si="51"/>
        <v>237</v>
      </c>
      <c r="U34" s="93">
        <f t="shared" si="51"/>
        <v>191</v>
      </c>
      <c r="V34" s="93">
        <f t="shared" si="51"/>
        <v>83</v>
      </c>
      <c r="W34" s="93">
        <f t="shared" si="51"/>
        <v>122</v>
      </c>
      <c r="X34" s="93">
        <f t="shared" si="51"/>
        <v>276</v>
      </c>
      <c r="Y34" s="94">
        <f t="shared" si="51"/>
        <v>74</v>
      </c>
      <c r="Z34" s="93">
        <f t="shared" si="51"/>
        <v>450</v>
      </c>
      <c r="AA34" s="93">
        <f t="shared" si="51"/>
        <v>269</v>
      </c>
      <c r="AB34" s="69">
        <f>SUM(AB37:AB38)</f>
        <v>273</v>
      </c>
      <c r="AC34" s="69">
        <f>SUM(AC37:AC38)</f>
        <v>261</v>
      </c>
      <c r="AD34" s="69">
        <f>SUM(AD37:AD38)</f>
        <v>217.054</v>
      </c>
      <c r="AE34" s="95">
        <f>SUM(AE37:AE38)</f>
        <v>2648.0540000000001</v>
      </c>
      <c r="AF34" s="69">
        <v>2432.4299999999998</v>
      </c>
      <c r="AG34" s="69">
        <v>2961</v>
      </c>
      <c r="AH34" s="95">
        <v>2520</v>
      </c>
      <c r="AI34" s="95">
        <v>2020</v>
      </c>
      <c r="AJ34" s="95">
        <v>5602</v>
      </c>
      <c r="AK34" s="95">
        <v>3555</v>
      </c>
      <c r="AL34" s="95">
        <v>1676.0530000000001</v>
      </c>
      <c r="AM34" s="95">
        <v>2103.36</v>
      </c>
      <c r="AN34" s="101" t="s">
        <v>29</v>
      </c>
      <c r="AO34" s="69">
        <f>SUM(AO36:AO38)</f>
        <v>466.29</v>
      </c>
      <c r="AP34" s="69">
        <f>SUM(AP36:AP38)</f>
        <v>365.85</v>
      </c>
      <c r="AQ34" s="95">
        <f>SUM(AQ36:AQ38)</f>
        <v>199.3</v>
      </c>
      <c r="AR34" s="101" t="s">
        <v>29</v>
      </c>
      <c r="AS34" s="95">
        <f>SUM(AS36:AS38)</f>
        <v>204.25</v>
      </c>
      <c r="AT34" s="101" t="s">
        <v>29</v>
      </c>
      <c r="AU34" s="95">
        <f>SUM(AU36:AU38)</f>
        <v>44.15</v>
      </c>
      <c r="AV34" s="95">
        <f>SUM(AV36:AV38)</f>
        <v>193.7</v>
      </c>
      <c r="AW34" s="95">
        <f>SUM(AW36:AW38)</f>
        <v>268.55</v>
      </c>
      <c r="AX34" s="95">
        <f>SUM(AX36:AX38)</f>
        <v>41.97</v>
      </c>
      <c r="AY34" s="95">
        <f>SUM(AY36:AY38)</f>
        <v>319.3</v>
      </c>
      <c r="AZ34" s="95">
        <f>SUM(AZ36:AZ39)</f>
        <v>2103.36</v>
      </c>
      <c r="BA34" s="95">
        <f>SUM(BA36:BA39)</f>
        <v>1153.1760000000002</v>
      </c>
      <c r="BB34" s="95">
        <v>787.29199999999992</v>
      </c>
      <c r="BC34" s="95">
        <v>939.89899999999989</v>
      </c>
      <c r="BD34" s="95">
        <v>1594.386</v>
      </c>
      <c r="BE34" s="95">
        <v>2207.672</v>
      </c>
      <c r="BF34" s="333">
        <v>3631.4659999999999</v>
      </c>
      <c r="BG34" s="333">
        <v>852.63099999999997</v>
      </c>
      <c r="BH34" s="333">
        <v>67.429999999999993</v>
      </c>
      <c r="BI34" s="333">
        <v>88.013000000000005</v>
      </c>
      <c r="BJ34" s="333">
        <v>53.704999999999998</v>
      </c>
      <c r="BK34" s="333">
        <v>101.764</v>
      </c>
      <c r="BL34" s="333">
        <v>0.55000000000000004</v>
      </c>
      <c r="BM34" s="333">
        <v>0.43</v>
      </c>
      <c r="BN34" s="333">
        <v>17.690000000000001</v>
      </c>
      <c r="BO34" s="333">
        <v>0</v>
      </c>
      <c r="BP34" s="333">
        <v>0</v>
      </c>
      <c r="BQ34" s="333">
        <v>0</v>
      </c>
      <c r="BR34" s="333">
        <v>0</v>
      </c>
      <c r="BS34" s="333">
        <v>0</v>
      </c>
      <c r="BT34" s="333">
        <v>0</v>
      </c>
      <c r="BU34" s="333">
        <v>1.29</v>
      </c>
      <c r="BV34" s="333">
        <v>0.25</v>
      </c>
      <c r="BW34" s="333">
        <v>0</v>
      </c>
      <c r="BX34" s="333">
        <v>1.9</v>
      </c>
      <c r="BY34" s="333">
        <v>14.25</v>
      </c>
      <c r="BZ34" s="333">
        <v>0</v>
      </c>
      <c r="CA34" s="333">
        <v>17.690000000000001</v>
      </c>
      <c r="CB34" s="333">
        <f t="shared" ref="CB34:CC34" si="52">SUM(CB36:CB39)</f>
        <v>35.380000000000003</v>
      </c>
      <c r="CC34" s="333">
        <f t="shared" si="52"/>
        <v>59.1</v>
      </c>
      <c r="CD34" s="333">
        <f t="shared" ref="CD34:CN34" si="53">SUM(CD36:CD39)</f>
        <v>61.15</v>
      </c>
      <c r="CE34" s="333">
        <f t="shared" si="53"/>
        <v>38.65</v>
      </c>
      <c r="CF34" s="333">
        <f t="shared" si="53"/>
        <v>28.3</v>
      </c>
      <c r="CG34" s="333">
        <f t="shared" si="53"/>
        <v>0</v>
      </c>
      <c r="CH34" s="333">
        <f t="shared" si="53"/>
        <v>24.35</v>
      </c>
      <c r="CI34" s="333">
        <f t="shared" si="53"/>
        <v>66.387</v>
      </c>
      <c r="CJ34" s="333">
        <f t="shared" si="53"/>
        <v>77</v>
      </c>
      <c r="CK34" s="333">
        <f t="shared" si="53"/>
        <v>24.9</v>
      </c>
      <c r="CL34" s="333">
        <f t="shared" si="53"/>
        <v>122.655</v>
      </c>
      <c r="CM34" s="333">
        <f t="shared" si="53"/>
        <v>203</v>
      </c>
      <c r="CN34" s="333">
        <f t="shared" si="53"/>
        <v>81.8</v>
      </c>
      <c r="CO34" s="333">
        <f>SUM(CO36:CO39)</f>
        <v>787.29199999999992</v>
      </c>
      <c r="CP34" s="333">
        <f t="shared" ref="CP34:DN34" si="54">SUM(CP36:CP39)</f>
        <v>94.724999999999994</v>
      </c>
      <c r="CQ34" s="333">
        <f t="shared" si="54"/>
        <v>51.99</v>
      </c>
      <c r="CR34" s="333">
        <f t="shared" si="54"/>
        <v>156.05099999999999</v>
      </c>
      <c r="CS34" s="333">
        <f t="shared" si="54"/>
        <v>106.77</v>
      </c>
      <c r="CT34" s="333">
        <f t="shared" si="54"/>
        <v>2.5920000000000001</v>
      </c>
      <c r="CU34" s="333">
        <f t="shared" si="54"/>
        <v>37.244999999999997</v>
      </c>
      <c r="CV34" s="333">
        <f t="shared" si="54"/>
        <v>52.465000000000003</v>
      </c>
      <c r="CW34" s="333">
        <f t="shared" si="54"/>
        <v>128.697</v>
      </c>
      <c r="CX34" s="333" t="s">
        <v>29</v>
      </c>
      <c r="CY34" s="333">
        <f t="shared" si="54"/>
        <v>134.358</v>
      </c>
      <c r="CZ34" s="333">
        <f t="shared" si="54"/>
        <v>72.778999999999996</v>
      </c>
      <c r="DA34" s="333">
        <f t="shared" si="54"/>
        <v>101.932</v>
      </c>
      <c r="DB34" s="333">
        <f t="shared" si="54"/>
        <v>939.60400000000004</v>
      </c>
      <c r="DC34" s="333">
        <f t="shared" si="54"/>
        <v>47.773000000000003</v>
      </c>
      <c r="DD34" s="333">
        <f t="shared" si="54"/>
        <v>87.09</v>
      </c>
      <c r="DE34" s="333">
        <f t="shared" si="54"/>
        <v>178.78</v>
      </c>
      <c r="DF34" s="333">
        <f t="shared" si="54"/>
        <v>156.071</v>
      </c>
      <c r="DG34" s="333">
        <f t="shared" si="54"/>
        <v>177.9</v>
      </c>
      <c r="DH34" s="333">
        <f t="shared" si="54"/>
        <v>130.40299999999999</v>
      </c>
      <c r="DI34" s="333">
        <f t="shared" si="54"/>
        <v>114.343</v>
      </c>
      <c r="DJ34" s="333">
        <f t="shared" si="54"/>
        <v>78.182000000000002</v>
      </c>
      <c r="DK34" s="333">
        <f t="shared" si="54"/>
        <v>126.1</v>
      </c>
      <c r="DL34" s="333">
        <f t="shared" si="54"/>
        <v>293.8</v>
      </c>
      <c r="DM34" s="333">
        <f t="shared" si="54"/>
        <v>119.45</v>
      </c>
      <c r="DN34" s="333">
        <f t="shared" si="54"/>
        <v>84.494</v>
      </c>
      <c r="DO34" s="333">
        <f t="shared" ref="DO34:DZ34" si="55">SUM(DO36:DO39)</f>
        <v>1594.386</v>
      </c>
      <c r="DP34" s="333">
        <f t="shared" si="55"/>
        <v>27.5</v>
      </c>
      <c r="DQ34" s="333">
        <f t="shared" si="55"/>
        <v>54.174999999999997</v>
      </c>
      <c r="DR34" s="333">
        <f t="shared" si="55"/>
        <v>28.215</v>
      </c>
      <c r="DS34" s="333">
        <f t="shared" si="55"/>
        <v>79.8</v>
      </c>
      <c r="DT34" s="333">
        <f t="shared" si="55"/>
        <v>141.05000000000001</v>
      </c>
      <c r="DU34" s="333">
        <f t="shared" si="55"/>
        <v>133.69</v>
      </c>
      <c r="DV34" s="333">
        <f t="shared" si="55"/>
        <v>371.2</v>
      </c>
      <c r="DW34" s="333">
        <f t="shared" si="55"/>
        <v>191.55</v>
      </c>
      <c r="DX34" s="333">
        <f t="shared" si="55"/>
        <v>323.05</v>
      </c>
      <c r="DY34" s="333">
        <f t="shared" si="55"/>
        <v>256.75</v>
      </c>
      <c r="DZ34" s="333">
        <f t="shared" si="55"/>
        <v>319.69200000000001</v>
      </c>
      <c r="EA34" s="333">
        <f t="shared" ref="EA34:EK34" si="56">SUM(EA36:EA39)</f>
        <v>281</v>
      </c>
      <c r="EB34" s="333">
        <f t="shared" si="56"/>
        <v>2207.672</v>
      </c>
      <c r="EC34" s="333">
        <f t="shared" si="56"/>
        <v>282.392</v>
      </c>
      <c r="ED34" s="333">
        <f t="shared" si="56"/>
        <v>276.76</v>
      </c>
      <c r="EE34" s="333">
        <f t="shared" si="56"/>
        <v>340.839</v>
      </c>
      <c r="EF34" s="333">
        <f t="shared" si="56"/>
        <v>358.94299999999998</v>
      </c>
      <c r="EG34" s="333">
        <f t="shared" si="56"/>
        <v>479.74099999999999</v>
      </c>
      <c r="EH34" s="333">
        <f t="shared" si="56"/>
        <v>566.35199999999998</v>
      </c>
      <c r="EI34" s="333">
        <f t="shared" si="56"/>
        <v>458.18599999999998</v>
      </c>
      <c r="EJ34" s="333">
        <f t="shared" si="56"/>
        <v>240.9</v>
      </c>
      <c r="EK34" s="333">
        <f t="shared" si="56"/>
        <v>166.096</v>
      </c>
      <c r="EL34" s="333">
        <f>SUM(EL36:EL39)</f>
        <v>295.37700000000001</v>
      </c>
      <c r="EM34" s="333">
        <f>SUM(EM36:EM39)</f>
        <v>35.459000000000003</v>
      </c>
      <c r="EN34" s="333">
        <f>SUM(EN36:EN39)</f>
        <v>130.42099999999999</v>
      </c>
      <c r="EO34" s="333">
        <f>SUM(EO37:EO39)</f>
        <v>3631.4659999999999</v>
      </c>
      <c r="EP34" s="333">
        <f>SUM(EP37:EP39)</f>
        <v>81.991</v>
      </c>
      <c r="EQ34" s="333">
        <f t="shared" ref="EQ34:GN34" si="57">SUM(EQ37:EQ39)</f>
        <v>30.56</v>
      </c>
      <c r="ER34" s="333">
        <f t="shared" si="57"/>
        <v>61.837000000000003</v>
      </c>
      <c r="ES34" s="333">
        <f t="shared" si="57"/>
        <v>28.254000000000001</v>
      </c>
      <c r="ET34" s="333">
        <f t="shared" si="57"/>
        <v>74.16</v>
      </c>
      <c r="EU34" s="333">
        <f t="shared" si="57"/>
        <v>266.86</v>
      </c>
      <c r="EV34" s="333">
        <f t="shared" si="57"/>
        <v>111.60299999999999</v>
      </c>
      <c r="EW34" s="333">
        <f t="shared" si="57"/>
        <v>11.803000000000001</v>
      </c>
      <c r="EX34" s="333">
        <f t="shared" si="57"/>
        <v>127.44799999999999</v>
      </c>
      <c r="EY34" s="333">
        <f t="shared" si="57"/>
        <v>14.545</v>
      </c>
      <c r="EZ34" s="333">
        <f t="shared" si="57"/>
        <v>9.2449999999999992</v>
      </c>
      <c r="FA34" s="333">
        <f t="shared" si="57"/>
        <v>34.325000000000003</v>
      </c>
      <c r="FB34" s="333">
        <f t="shared" si="57"/>
        <v>852.63099999999997</v>
      </c>
      <c r="FC34" s="333">
        <f t="shared" si="57"/>
        <v>0</v>
      </c>
      <c r="FD34" s="333">
        <f t="shared" si="57"/>
        <v>4.1980000000000004</v>
      </c>
      <c r="FE34" s="333">
        <f t="shared" si="57"/>
        <v>6.0750000000000002</v>
      </c>
      <c r="FF34" s="333">
        <f t="shared" si="57"/>
        <v>4.8250000000000002</v>
      </c>
      <c r="FG34" s="333">
        <f t="shared" si="57"/>
        <v>3.74</v>
      </c>
      <c r="FH34" s="333">
        <f t="shared" si="57"/>
        <v>1.605</v>
      </c>
      <c r="FI34" s="333">
        <f t="shared" si="57"/>
        <v>1.8660000000000001</v>
      </c>
      <c r="FJ34" s="333">
        <f t="shared" si="57"/>
        <v>7.367</v>
      </c>
      <c r="FK34" s="333">
        <f t="shared" si="57"/>
        <v>3.617</v>
      </c>
      <c r="FL34" s="333">
        <f t="shared" si="57"/>
        <v>4.0430000000000001</v>
      </c>
      <c r="FM34" s="333">
        <f t="shared" si="57"/>
        <v>25.895</v>
      </c>
      <c r="FN34" s="333">
        <f t="shared" si="57"/>
        <v>4.1989999999999998</v>
      </c>
      <c r="FO34" s="333">
        <f t="shared" ref="FO34:GA34" si="58">SUM(FO37:FO39)</f>
        <v>67.429999999999993</v>
      </c>
      <c r="FP34" s="333">
        <f t="shared" si="58"/>
        <v>13.904999999999999</v>
      </c>
      <c r="FQ34" s="333">
        <f t="shared" si="58"/>
        <v>2.879</v>
      </c>
      <c r="FR34" s="333">
        <f t="shared" si="58"/>
        <v>2.59</v>
      </c>
      <c r="FS34" s="333">
        <f t="shared" si="58"/>
        <v>1.2170000000000001</v>
      </c>
      <c r="FT34" s="333">
        <f t="shared" si="58"/>
        <v>1.147</v>
      </c>
      <c r="FU34" s="333">
        <f t="shared" si="58"/>
        <v>1.581</v>
      </c>
      <c r="FV34" s="333">
        <f t="shared" si="58"/>
        <v>1.2929999999999999</v>
      </c>
      <c r="FW34" s="333">
        <f t="shared" si="58"/>
        <v>0.40500000000000003</v>
      </c>
      <c r="FX34" s="333">
        <f t="shared" si="58"/>
        <v>1.24</v>
      </c>
      <c r="FY34" s="333">
        <f t="shared" si="58"/>
        <v>61.341000000000001</v>
      </c>
      <c r="FZ34" s="333">
        <f t="shared" si="58"/>
        <v>0.35199999999999998</v>
      </c>
      <c r="GA34" s="333">
        <f t="shared" si="58"/>
        <v>6.3E-2</v>
      </c>
      <c r="GB34" s="333">
        <f t="shared" si="57"/>
        <v>88.013000000000005</v>
      </c>
      <c r="GC34" s="333">
        <f t="shared" si="57"/>
        <v>0.98299999999999998</v>
      </c>
      <c r="GD34" s="333">
        <f t="shared" si="57"/>
        <v>0</v>
      </c>
      <c r="GE34" s="333">
        <f t="shared" si="57"/>
        <v>25</v>
      </c>
      <c r="GF34" s="333">
        <f t="shared" si="57"/>
        <v>0.57699999999999996</v>
      </c>
      <c r="GG34" s="333">
        <f t="shared" si="57"/>
        <v>8.5000000000000006E-2</v>
      </c>
      <c r="GH34" s="333">
        <f t="shared" si="57"/>
        <v>0</v>
      </c>
      <c r="GI34" s="333">
        <f t="shared" si="57"/>
        <v>0</v>
      </c>
      <c r="GJ34" s="333">
        <f t="shared" si="57"/>
        <v>27.06</v>
      </c>
      <c r="GK34" s="333">
        <f t="shared" si="57"/>
        <v>0</v>
      </c>
      <c r="GL34" s="333">
        <f t="shared" si="57"/>
        <v>0</v>
      </c>
      <c r="GM34" s="333">
        <f t="shared" si="57"/>
        <v>0</v>
      </c>
      <c r="GN34" s="333">
        <f t="shared" si="57"/>
        <v>0</v>
      </c>
      <c r="GO34" s="333">
        <f>SUM(GO37:GO39)</f>
        <v>53.704999999999998</v>
      </c>
      <c r="GP34" s="333">
        <f t="shared" ref="GP34:GX34" si="59">SUM(GP37:GP39)</f>
        <v>0</v>
      </c>
      <c r="GQ34" s="333">
        <f t="shared" si="59"/>
        <v>100.74</v>
      </c>
      <c r="GR34" s="333">
        <f t="shared" si="59"/>
        <v>0</v>
      </c>
      <c r="GS34" s="333">
        <f t="shared" si="59"/>
        <v>0</v>
      </c>
      <c r="GT34" s="333">
        <f t="shared" si="59"/>
        <v>0</v>
      </c>
      <c r="GU34" s="333">
        <f t="shared" si="59"/>
        <v>0</v>
      </c>
      <c r="GV34" s="333">
        <f t="shared" si="59"/>
        <v>0.107</v>
      </c>
      <c r="GW34" s="333">
        <f t="shared" si="59"/>
        <v>0</v>
      </c>
      <c r="GX34" s="333">
        <f t="shared" si="59"/>
        <v>0.22500000000000001</v>
      </c>
      <c r="GY34" s="333">
        <f t="shared" ref="GY34:HA34" si="60">SUM(GY36:GY39)</f>
        <v>6.3E-2</v>
      </c>
      <c r="GZ34" s="333">
        <f t="shared" si="60"/>
        <v>8.4000000000000005E-2</v>
      </c>
      <c r="HA34" s="333">
        <f t="shared" si="60"/>
        <v>0.54500000000000004</v>
      </c>
      <c r="HB34" s="333">
        <f t="shared" ref="HB34:HG34" si="61">SUM(HB36:HB39)</f>
        <v>0</v>
      </c>
      <c r="HC34" s="333">
        <f t="shared" si="61"/>
        <v>0</v>
      </c>
      <c r="HD34" s="333">
        <f t="shared" si="61"/>
        <v>0</v>
      </c>
      <c r="HE34" s="333">
        <f t="shared" si="61"/>
        <v>0</v>
      </c>
      <c r="HF34" s="333">
        <f t="shared" si="61"/>
        <v>0</v>
      </c>
      <c r="HG34" s="333">
        <f t="shared" si="61"/>
        <v>0</v>
      </c>
      <c r="HH34" s="333">
        <f t="shared" ref="HH34:HJ34" si="62">SUM(HH36:HH39)</f>
        <v>0</v>
      </c>
      <c r="HI34" s="333">
        <f t="shared" si="62"/>
        <v>0</v>
      </c>
      <c r="HJ34" s="333">
        <f t="shared" si="62"/>
        <v>0</v>
      </c>
      <c r="HK34" s="333">
        <v>0.25</v>
      </c>
      <c r="HL34" s="333">
        <f>SUM(HL37:HL39)</f>
        <v>0</v>
      </c>
      <c r="HM34" s="333">
        <f>SUM(HM37:HM39)</f>
        <v>0.3</v>
      </c>
      <c r="HN34" s="191">
        <f>SUM(HB34:HM34)</f>
        <v>0.55000000000000004</v>
      </c>
      <c r="HO34" s="333">
        <f t="shared" ref="HO34:HW34" si="63">HO36+HO37+HO38</f>
        <v>0</v>
      </c>
      <c r="HP34" s="333">
        <f t="shared" si="63"/>
        <v>0</v>
      </c>
      <c r="HQ34" s="333">
        <f t="shared" si="63"/>
        <v>0</v>
      </c>
      <c r="HR34" s="333">
        <f t="shared" si="63"/>
        <v>0</v>
      </c>
      <c r="HS34" s="333">
        <f t="shared" si="63"/>
        <v>0</v>
      </c>
      <c r="HT34" s="333">
        <f t="shared" si="63"/>
        <v>0</v>
      </c>
      <c r="HU34" s="408">
        <f t="shared" si="63"/>
        <v>0</v>
      </c>
      <c r="HV34" s="333">
        <f t="shared" si="63"/>
        <v>0</v>
      </c>
      <c r="HW34" s="333">
        <f t="shared" si="63"/>
        <v>0</v>
      </c>
      <c r="HX34" s="333">
        <f>HX36+HX37+HX38</f>
        <v>0</v>
      </c>
      <c r="HY34" s="333">
        <f>HY36+HY37+HY38</f>
        <v>0.43</v>
      </c>
      <c r="HZ34" s="408">
        <f>HZ36+HZ37+HZ38</f>
        <v>0</v>
      </c>
      <c r="IA34" s="333">
        <v>0</v>
      </c>
      <c r="IB34" s="333">
        <f t="shared" ref="IB34:II34" si="64">IB36+IB37+IB38</f>
        <v>0</v>
      </c>
      <c r="IC34" s="333">
        <f t="shared" si="64"/>
        <v>0</v>
      </c>
      <c r="ID34" s="333">
        <f t="shared" si="64"/>
        <v>0</v>
      </c>
      <c r="IE34" s="333">
        <f t="shared" si="64"/>
        <v>0</v>
      </c>
      <c r="IF34" s="333">
        <f t="shared" si="64"/>
        <v>0</v>
      </c>
      <c r="IG34" s="408">
        <f t="shared" si="64"/>
        <v>1.29</v>
      </c>
      <c r="IH34" s="333">
        <f t="shared" si="64"/>
        <v>0.25</v>
      </c>
      <c r="II34" s="333">
        <f t="shared" si="64"/>
        <v>0</v>
      </c>
      <c r="IJ34" s="333">
        <f>IJ36+IJ37+IJ38</f>
        <v>1.9</v>
      </c>
      <c r="IK34" s="333">
        <f>IK36+IK37+IK38</f>
        <v>14.25</v>
      </c>
      <c r="IL34" s="333">
        <f>IL36+IL37+IL38</f>
        <v>0</v>
      </c>
      <c r="IM34" s="333">
        <f>IM36+IM37+IM38</f>
        <v>0</v>
      </c>
      <c r="IN34" s="333">
        <f>IN36+IN37+IN38</f>
        <v>0</v>
      </c>
      <c r="IO34" s="333">
        <f t="shared" ref="IO34:IT34" si="65">IO36+IO37+IO38</f>
        <v>0</v>
      </c>
      <c r="IP34" s="333">
        <f t="shared" si="65"/>
        <v>0</v>
      </c>
      <c r="IQ34" s="333">
        <f t="shared" si="65"/>
        <v>0</v>
      </c>
      <c r="IR34" s="333">
        <f t="shared" si="65"/>
        <v>0</v>
      </c>
      <c r="IS34" s="333">
        <f t="shared" si="65"/>
        <v>0</v>
      </c>
      <c r="IT34" s="333">
        <f t="shared" si="65"/>
        <v>0</v>
      </c>
      <c r="IU34" s="333">
        <f>IU36+IU37+IU38</f>
        <v>0</v>
      </c>
      <c r="IV34" s="333">
        <f>IV36+IV37+IV38</f>
        <v>0</v>
      </c>
      <c r="IW34" s="333">
        <f>IW36+IW37+IW38</f>
        <v>0</v>
      </c>
      <c r="IX34" s="333">
        <f>IX36+IX37+IX38</f>
        <v>0</v>
      </c>
      <c r="IY34" s="333">
        <f>IY36+IY37+IY38</f>
        <v>0</v>
      </c>
      <c r="IZ34" s="333">
        <f>IZ36+IZ37+IZ38</f>
        <v>0</v>
      </c>
      <c r="JA34" s="333"/>
      <c r="JB34" s="333"/>
      <c r="JC34" s="333"/>
      <c r="JD34" s="333"/>
      <c r="JE34" s="333"/>
      <c r="JF34" s="333"/>
      <c r="JG34" s="333"/>
      <c r="JH34" s="333"/>
      <c r="JI34" s="333"/>
      <c r="JJ34" s="333"/>
      <c r="JK34" s="408">
        <f>+JK36+JK37+JK38</f>
        <v>0</v>
      </c>
      <c r="JL34" s="408">
        <f>+JL36+JL37+JL38</f>
        <v>0</v>
      </c>
      <c r="JM34" s="305"/>
      <c r="JN34" s="305"/>
      <c r="JO34" s="305"/>
      <c r="JP34" s="305"/>
      <c r="JQ34" s="305"/>
      <c r="JR34" s="305"/>
      <c r="JS34" s="305"/>
      <c r="JT34" s="304"/>
      <c r="JU34" s="306"/>
    </row>
    <row r="35" spans="1:281" x14ac:dyDescent="0.25">
      <c r="A35" s="55"/>
      <c r="B35" s="34"/>
      <c r="C35" s="34"/>
      <c r="D35" s="34"/>
      <c r="E35" s="79"/>
      <c r="F35" s="79"/>
      <c r="G35" s="79"/>
      <c r="H35" s="79"/>
      <c r="I35" s="79"/>
      <c r="J35" s="79"/>
      <c r="K35" s="79"/>
      <c r="L35" s="79"/>
      <c r="M35" s="112" t="s">
        <v>27</v>
      </c>
      <c r="N35" s="97" t="s">
        <v>27</v>
      </c>
      <c r="O35" s="98" t="s">
        <v>27</v>
      </c>
      <c r="P35" s="92"/>
      <c r="Q35" s="93"/>
      <c r="R35" s="93"/>
      <c r="S35" s="92"/>
      <c r="T35" s="92"/>
      <c r="U35" s="69"/>
      <c r="V35" s="69"/>
      <c r="W35" s="93"/>
      <c r="X35" s="93"/>
      <c r="Y35" s="94"/>
      <c r="Z35" s="93"/>
      <c r="AA35" s="93"/>
      <c r="AB35" s="93"/>
      <c r="AC35" s="94"/>
      <c r="AD35" s="93"/>
      <c r="AE35" s="94"/>
      <c r="AF35" s="93"/>
      <c r="AG35" s="93"/>
      <c r="AH35" s="94"/>
      <c r="AI35" s="94"/>
      <c r="AJ35" s="94"/>
      <c r="AK35" s="94"/>
      <c r="AL35" s="94"/>
      <c r="AM35" s="94"/>
      <c r="AN35" s="95"/>
      <c r="AO35" s="95"/>
      <c r="AP35" s="69"/>
      <c r="AQ35" s="95"/>
      <c r="AR35" s="101"/>
      <c r="AS35" s="69"/>
      <c r="AT35" s="69"/>
      <c r="AU35" s="95"/>
      <c r="AV35" s="69"/>
      <c r="AW35" s="69"/>
      <c r="AX35" s="95"/>
      <c r="AY35" s="93"/>
      <c r="AZ35" s="105"/>
      <c r="BA35" s="105"/>
      <c r="BB35" s="105"/>
      <c r="BC35" s="105"/>
      <c r="BD35" s="105"/>
      <c r="BE35" s="105"/>
      <c r="BF35" s="191"/>
      <c r="BG35" s="191"/>
      <c r="BH35" s="191"/>
      <c r="BI35" s="191"/>
      <c r="BJ35" s="191"/>
      <c r="BK35" s="191"/>
      <c r="BL35" s="333"/>
      <c r="BM35" s="333"/>
      <c r="BN35" s="333"/>
      <c r="BO35" s="333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410"/>
      <c r="HV35" s="376"/>
      <c r="HW35" s="376"/>
      <c r="HX35" s="376"/>
      <c r="HY35" s="376"/>
      <c r="HZ35" s="409"/>
      <c r="IA35" s="392"/>
      <c r="IB35" s="392"/>
      <c r="IC35" s="392"/>
      <c r="ID35" s="392"/>
      <c r="IE35" s="392"/>
      <c r="IF35" s="392"/>
      <c r="IG35" s="436"/>
      <c r="IH35" s="436"/>
      <c r="II35" s="436"/>
      <c r="IJ35" s="436"/>
      <c r="IK35" s="436"/>
      <c r="IL35" s="436"/>
      <c r="IM35" s="436"/>
      <c r="IN35" s="436"/>
      <c r="IO35" s="436"/>
      <c r="IP35" s="436"/>
      <c r="IQ35" s="436"/>
      <c r="IR35" s="436"/>
      <c r="IS35" s="436"/>
      <c r="IT35" s="436"/>
      <c r="IU35" s="436"/>
      <c r="IV35" s="436"/>
      <c r="IW35" s="436"/>
      <c r="IX35" s="436"/>
      <c r="IY35" s="436"/>
      <c r="IZ35" s="436"/>
      <c r="JA35" s="436"/>
      <c r="JB35" s="436"/>
      <c r="JC35" s="436"/>
      <c r="JD35" s="436"/>
      <c r="JE35" s="436"/>
      <c r="JF35" s="436"/>
      <c r="JG35" s="436"/>
      <c r="JH35" s="436"/>
      <c r="JI35" s="436"/>
      <c r="JJ35" s="436"/>
      <c r="JK35" s="408"/>
      <c r="JL35" s="436"/>
      <c r="JM35" s="10"/>
      <c r="JN35" s="10"/>
      <c r="JO35" s="10"/>
      <c r="JP35" s="10"/>
      <c r="JQ35" s="10"/>
      <c r="JR35" s="10"/>
      <c r="JS35" s="10"/>
      <c r="JT35" s="10"/>
      <c r="JU35" s="10"/>
    </row>
    <row r="36" spans="1:281" x14ac:dyDescent="0.25">
      <c r="A36" s="91" t="s">
        <v>46</v>
      </c>
      <c r="B36" s="34"/>
      <c r="C36" s="34"/>
      <c r="D36" s="34"/>
      <c r="E36" s="79">
        <v>1</v>
      </c>
      <c r="F36" s="79">
        <v>1</v>
      </c>
      <c r="G36" s="79">
        <v>10</v>
      </c>
      <c r="H36" s="79">
        <v>1</v>
      </c>
      <c r="I36" s="79">
        <v>28</v>
      </c>
      <c r="J36" s="106" t="s">
        <v>29</v>
      </c>
      <c r="K36" s="79">
        <v>16</v>
      </c>
      <c r="L36" s="79">
        <v>35</v>
      </c>
      <c r="M36" s="106" t="s">
        <v>29</v>
      </c>
      <c r="N36" s="102" t="s">
        <v>29</v>
      </c>
      <c r="O36" s="101" t="s">
        <v>29</v>
      </c>
      <c r="P36" s="102" t="s">
        <v>29</v>
      </c>
      <c r="Q36" s="101" t="s">
        <v>29</v>
      </c>
      <c r="R36" s="104" t="s">
        <v>29</v>
      </c>
      <c r="S36" s="102" t="s">
        <v>29</v>
      </c>
      <c r="T36" s="102" t="s">
        <v>29</v>
      </c>
      <c r="U36" s="101" t="s">
        <v>29</v>
      </c>
      <c r="V36" s="101" t="s">
        <v>29</v>
      </c>
      <c r="W36" s="101" t="s">
        <v>29</v>
      </c>
      <c r="X36" s="101" t="s">
        <v>29</v>
      </c>
      <c r="Y36" s="105" t="s">
        <v>29</v>
      </c>
      <c r="Z36" s="101" t="s">
        <v>29</v>
      </c>
      <c r="AA36" s="102"/>
      <c r="AB36" s="102" t="s">
        <v>29</v>
      </c>
      <c r="AC36" s="105" t="s">
        <v>29</v>
      </c>
      <c r="AD36" s="101" t="s">
        <v>29</v>
      </c>
      <c r="AE36" s="94">
        <f>SUM(S36:Z36)</f>
        <v>0</v>
      </c>
      <c r="AF36" s="93">
        <v>0</v>
      </c>
      <c r="AG36" s="93"/>
      <c r="AH36" s="94"/>
      <c r="AI36" s="94"/>
      <c r="AJ36" s="94"/>
      <c r="AK36" s="94"/>
      <c r="AL36" s="94"/>
      <c r="AM36" s="94"/>
      <c r="AN36" s="95"/>
      <c r="AO36" s="95"/>
      <c r="AP36" s="69"/>
      <c r="AQ36" s="95"/>
      <c r="AR36" s="101"/>
      <c r="AS36" s="69"/>
      <c r="AT36" s="69"/>
      <c r="AU36" s="37"/>
      <c r="AV36" s="37"/>
      <c r="AW36" s="37"/>
      <c r="AX36" s="95"/>
      <c r="AY36" s="93"/>
      <c r="AZ36" s="105"/>
      <c r="BA36" s="105"/>
      <c r="BB36" s="105">
        <v>0</v>
      </c>
      <c r="BC36" s="105"/>
      <c r="BD36" s="105"/>
      <c r="BE36" s="105"/>
      <c r="BF36" s="191"/>
      <c r="BG36" s="191"/>
      <c r="BH36" s="191">
        <v>0</v>
      </c>
      <c r="BI36" s="191">
        <v>0</v>
      </c>
      <c r="BJ36" s="191">
        <v>0</v>
      </c>
      <c r="BK36" s="191">
        <v>0</v>
      </c>
      <c r="BL36" s="191">
        <v>0</v>
      </c>
      <c r="BM36" s="191">
        <v>0</v>
      </c>
      <c r="BN36" s="191">
        <v>0</v>
      </c>
      <c r="BO36" s="191">
        <v>0</v>
      </c>
      <c r="BP36" s="191">
        <v>0</v>
      </c>
      <c r="BQ36" s="191">
        <v>0</v>
      </c>
      <c r="BR36" s="191">
        <v>0</v>
      </c>
      <c r="BS36" s="191">
        <v>0</v>
      </c>
      <c r="BT36" s="191">
        <v>0</v>
      </c>
      <c r="BU36" s="191">
        <v>0</v>
      </c>
      <c r="BV36" s="191">
        <v>0</v>
      </c>
      <c r="BW36" s="191">
        <v>0</v>
      </c>
      <c r="BX36" s="191">
        <v>0</v>
      </c>
      <c r="BY36" s="191">
        <v>0</v>
      </c>
      <c r="BZ36" s="191">
        <v>0</v>
      </c>
      <c r="CA36" s="191">
        <v>0</v>
      </c>
      <c r="CB36" s="191">
        <f>SUM(BP36:BZ36)</f>
        <v>0</v>
      </c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>
        <f>SUM(CC36:CE36)</f>
        <v>0</v>
      </c>
      <c r="CP36" s="191"/>
      <c r="CQ36" s="191"/>
      <c r="CR36" s="191"/>
      <c r="CS36" s="191">
        <v>0</v>
      </c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>
        <f>SUM(GC36:GN36)</f>
        <v>0</v>
      </c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>
        <v>0</v>
      </c>
      <c r="HC36" s="191">
        <v>0</v>
      </c>
      <c r="HD36" s="191">
        <v>0</v>
      </c>
      <c r="HE36" s="191">
        <v>0</v>
      </c>
      <c r="HF36" s="191">
        <v>0</v>
      </c>
      <c r="HG36" s="191">
        <v>0</v>
      </c>
      <c r="HH36" s="191">
        <v>0</v>
      </c>
      <c r="HI36" s="191">
        <v>0</v>
      </c>
      <c r="HJ36" s="191">
        <v>0</v>
      </c>
      <c r="HK36" s="191"/>
      <c r="HL36" s="191"/>
      <c r="HN36" s="191">
        <f>SUM(HB36:HM36)</f>
        <v>0</v>
      </c>
      <c r="HO36" s="191">
        <v>0</v>
      </c>
      <c r="HP36" s="191">
        <v>0</v>
      </c>
      <c r="HQ36" s="191">
        <v>0</v>
      </c>
      <c r="HR36" s="191">
        <v>0</v>
      </c>
      <c r="HS36" s="191">
        <v>0</v>
      </c>
      <c r="HT36" s="191">
        <v>0</v>
      </c>
      <c r="HU36" s="410">
        <v>0</v>
      </c>
      <c r="HV36" s="191">
        <v>0</v>
      </c>
      <c r="HW36" s="191">
        <v>0</v>
      </c>
      <c r="HX36" s="191">
        <v>0</v>
      </c>
      <c r="HY36" s="191">
        <v>0</v>
      </c>
      <c r="HZ36" s="410">
        <v>0</v>
      </c>
      <c r="IA36" s="191">
        <v>0</v>
      </c>
      <c r="IB36" s="191">
        <v>0</v>
      </c>
      <c r="IC36" s="191">
        <v>0</v>
      </c>
      <c r="ID36" s="191">
        <v>0</v>
      </c>
      <c r="IE36" s="191">
        <v>0</v>
      </c>
      <c r="IF36" s="191">
        <v>0</v>
      </c>
      <c r="IG36" s="410">
        <v>0</v>
      </c>
      <c r="IH36" s="410">
        <v>0</v>
      </c>
      <c r="II36" s="410">
        <v>0</v>
      </c>
      <c r="IJ36" s="410">
        <v>0</v>
      </c>
      <c r="IK36" s="410">
        <v>0</v>
      </c>
      <c r="IL36" s="410">
        <v>0</v>
      </c>
      <c r="IM36" s="410">
        <v>0</v>
      </c>
      <c r="IN36" s="410">
        <v>0</v>
      </c>
      <c r="IO36" s="410">
        <v>0</v>
      </c>
      <c r="IP36" s="410">
        <v>0</v>
      </c>
      <c r="IQ36" s="410">
        <v>0</v>
      </c>
      <c r="IR36" s="410">
        <v>0</v>
      </c>
      <c r="IS36" s="410">
        <v>0</v>
      </c>
      <c r="IT36" s="410">
        <v>0</v>
      </c>
      <c r="IU36" s="410">
        <v>0</v>
      </c>
      <c r="IV36" s="410">
        <v>0</v>
      </c>
      <c r="IW36" s="410">
        <v>0</v>
      </c>
      <c r="IX36" s="410">
        <v>0</v>
      </c>
      <c r="IY36" s="410">
        <v>0</v>
      </c>
      <c r="IZ36" s="410">
        <v>0</v>
      </c>
      <c r="JA36" s="410"/>
      <c r="JB36" s="410"/>
      <c r="JC36" s="410"/>
      <c r="JD36" s="410"/>
      <c r="JE36" s="410"/>
      <c r="JF36" s="410"/>
      <c r="JG36" s="410"/>
      <c r="JH36" s="410"/>
      <c r="JI36" s="410"/>
      <c r="JJ36" s="410"/>
      <c r="JK36" s="410">
        <f>+IM36+IN36</f>
        <v>0</v>
      </c>
      <c r="JL36" s="410">
        <f>+IY36+IZ36</f>
        <v>0</v>
      </c>
      <c r="JM36" s="10"/>
      <c r="JN36" s="10"/>
      <c r="JO36" s="10"/>
      <c r="JP36" s="10"/>
      <c r="JQ36" s="10"/>
      <c r="JR36" s="10"/>
      <c r="JS36" s="10"/>
      <c r="JT36" s="9"/>
      <c r="JU36" s="11"/>
    </row>
    <row r="37" spans="1:281" x14ac:dyDescent="0.25">
      <c r="A37" s="91" t="s">
        <v>93</v>
      </c>
      <c r="B37" s="34"/>
      <c r="C37" s="34"/>
      <c r="D37" s="34"/>
      <c r="E37" s="79">
        <v>654</v>
      </c>
      <c r="F37" s="79">
        <v>2007</v>
      </c>
      <c r="G37" s="79">
        <v>2062</v>
      </c>
      <c r="H37" s="79">
        <v>1219</v>
      </c>
      <c r="I37" s="79">
        <v>1421</v>
      </c>
      <c r="J37" s="79">
        <v>879</v>
      </c>
      <c r="K37" s="79">
        <v>917</v>
      </c>
      <c r="L37" s="79">
        <v>626</v>
      </c>
      <c r="M37" s="79">
        <v>616</v>
      </c>
      <c r="N37" s="92">
        <v>272</v>
      </c>
      <c r="O37" s="93">
        <v>587</v>
      </c>
      <c r="P37" s="92">
        <v>1656</v>
      </c>
      <c r="Q37" s="93">
        <v>1981</v>
      </c>
      <c r="R37" s="93">
        <v>1976.0540000000001</v>
      </c>
      <c r="S37" s="92">
        <v>121</v>
      </c>
      <c r="T37" s="92">
        <f>212+7</f>
        <v>219</v>
      </c>
      <c r="U37" s="69">
        <v>189</v>
      </c>
      <c r="V37" s="69">
        <v>83</v>
      </c>
      <c r="W37" s="93">
        <v>122</v>
      </c>
      <c r="X37" s="93">
        <f>43+233</f>
        <v>276</v>
      </c>
      <c r="Y37" s="94">
        <v>74</v>
      </c>
      <c r="Z37" s="93">
        <f>141+131</f>
        <v>272</v>
      </c>
      <c r="AA37" s="93">
        <v>97</v>
      </c>
      <c r="AB37" s="93">
        <v>216</v>
      </c>
      <c r="AC37" s="94">
        <f>45+64</f>
        <v>109</v>
      </c>
      <c r="AD37" s="93">
        <f>81.054+117</f>
        <v>198.054</v>
      </c>
      <c r="AE37" s="94">
        <f>SUM(S37:AD37)</f>
        <v>1976.0540000000001</v>
      </c>
      <c r="AF37" s="93">
        <v>2432.4299999999998</v>
      </c>
      <c r="AG37" s="93">
        <v>2710</v>
      </c>
      <c r="AH37" s="94">
        <v>2463</v>
      </c>
      <c r="AI37" s="94">
        <v>2020</v>
      </c>
      <c r="AJ37" s="94">
        <v>5602</v>
      </c>
      <c r="AK37" s="94">
        <v>3555</v>
      </c>
      <c r="AL37" s="94">
        <v>1676.0530000000001</v>
      </c>
      <c r="AM37" s="94">
        <v>2103.36</v>
      </c>
      <c r="AN37" s="101" t="s">
        <v>29</v>
      </c>
      <c r="AO37" s="69">
        <v>466.29</v>
      </c>
      <c r="AP37" s="101">
        <v>365.85</v>
      </c>
      <c r="AQ37" s="69">
        <v>199.3</v>
      </c>
      <c r="AR37" s="101" t="s">
        <v>29</v>
      </c>
      <c r="AS37" s="69">
        <v>204.25</v>
      </c>
      <c r="AT37" s="104" t="s">
        <v>29</v>
      </c>
      <c r="AU37" s="69">
        <v>44.15</v>
      </c>
      <c r="AV37" s="69">
        <v>193.7</v>
      </c>
      <c r="AW37" s="69">
        <v>268.55</v>
      </c>
      <c r="AX37" s="101">
        <v>41.97</v>
      </c>
      <c r="AY37" s="101">
        <v>319.3</v>
      </c>
      <c r="AZ37" s="69">
        <f>SUM(AN37:AY37)</f>
        <v>2103.36</v>
      </c>
      <c r="BA37" s="69">
        <v>1153.1760000000002</v>
      </c>
      <c r="BB37" s="69">
        <v>787.29199999999992</v>
      </c>
      <c r="BC37" s="69">
        <v>939.89899999999989</v>
      </c>
      <c r="BD37" s="69">
        <v>1594.386</v>
      </c>
      <c r="BE37" s="69">
        <v>2207.672</v>
      </c>
      <c r="BF37" s="191">
        <v>3631.4659999999999</v>
      </c>
      <c r="BG37" s="191">
        <v>852.63099999999997</v>
      </c>
      <c r="BH37" s="191">
        <v>67.429999999999993</v>
      </c>
      <c r="BI37" s="191">
        <v>88.013000000000005</v>
      </c>
      <c r="BJ37" s="191">
        <v>53.704999999999998</v>
      </c>
      <c r="BK37" s="191">
        <v>101.764</v>
      </c>
      <c r="BL37" s="191">
        <v>0.55000000000000004</v>
      </c>
      <c r="BM37" s="191">
        <v>0.43</v>
      </c>
      <c r="BN37" s="191">
        <v>17.690000000000001</v>
      </c>
      <c r="BO37" s="191">
        <v>0</v>
      </c>
      <c r="BP37" s="191">
        <v>0</v>
      </c>
      <c r="BQ37" s="191">
        <v>0</v>
      </c>
      <c r="BR37" s="191">
        <v>0</v>
      </c>
      <c r="BS37" s="191">
        <v>0</v>
      </c>
      <c r="BT37" s="191">
        <v>0</v>
      </c>
      <c r="BU37" s="191">
        <v>1.29</v>
      </c>
      <c r="BV37" s="191">
        <v>0.25</v>
      </c>
      <c r="BW37" s="191">
        <v>0</v>
      </c>
      <c r="BX37" s="191">
        <v>1.9</v>
      </c>
      <c r="BY37" s="191">
        <v>14.25</v>
      </c>
      <c r="BZ37" s="191">
        <v>0</v>
      </c>
      <c r="CA37" s="191">
        <v>17.690000000000001</v>
      </c>
      <c r="CB37" s="191">
        <f>SUM(BP37:CA38)</f>
        <v>35.380000000000003</v>
      </c>
      <c r="CC37" s="191">
        <v>59.1</v>
      </c>
      <c r="CD37" s="191">
        <v>61.15</v>
      </c>
      <c r="CE37" s="191">
        <v>38.65</v>
      </c>
      <c r="CF37" s="191">
        <v>28.3</v>
      </c>
      <c r="CG37" s="191"/>
      <c r="CH37" s="191">
        <v>24.35</v>
      </c>
      <c r="CI37" s="191">
        <v>66.387</v>
      </c>
      <c r="CJ37" s="191">
        <v>77</v>
      </c>
      <c r="CK37" s="191">
        <v>24.9</v>
      </c>
      <c r="CL37" s="191">
        <v>122.655</v>
      </c>
      <c r="CM37" s="191">
        <v>203</v>
      </c>
      <c r="CN37" s="191">
        <v>81.8</v>
      </c>
      <c r="CO37" s="191">
        <f>SUM(CC37:CN37)</f>
        <v>787.29199999999992</v>
      </c>
      <c r="CP37" s="191">
        <v>94.724999999999994</v>
      </c>
      <c r="CQ37" s="191">
        <v>51.99</v>
      </c>
      <c r="CR37" s="191">
        <v>156.05099999999999</v>
      </c>
      <c r="CS37" s="191">
        <v>106.77</v>
      </c>
      <c r="CT37" s="191">
        <v>2.5920000000000001</v>
      </c>
      <c r="CU37" s="191">
        <v>37.244999999999997</v>
      </c>
      <c r="CV37" s="191">
        <v>52.465000000000003</v>
      </c>
      <c r="CW37" s="191">
        <v>128.697</v>
      </c>
      <c r="CX37" s="191" t="s">
        <v>29</v>
      </c>
      <c r="CY37" s="191">
        <v>134.358</v>
      </c>
      <c r="CZ37" s="191">
        <v>72.778999999999996</v>
      </c>
      <c r="DA37" s="191">
        <v>101.932</v>
      </c>
      <c r="DB37" s="191">
        <f>SUM(CP37:DA37)</f>
        <v>939.60400000000004</v>
      </c>
      <c r="DC37" s="191">
        <v>47.773000000000003</v>
      </c>
      <c r="DD37" s="191">
        <v>87.09</v>
      </c>
      <c r="DE37" s="191">
        <v>178.78</v>
      </c>
      <c r="DF37" s="191">
        <v>156.071</v>
      </c>
      <c r="DG37" s="191">
        <v>177.9</v>
      </c>
      <c r="DH37" s="191">
        <v>130.40299999999999</v>
      </c>
      <c r="DI37" s="191">
        <v>114.343</v>
      </c>
      <c r="DJ37" s="191">
        <v>78.182000000000002</v>
      </c>
      <c r="DK37" s="191">
        <v>126.1</v>
      </c>
      <c r="DL37" s="191">
        <v>293.8</v>
      </c>
      <c r="DM37" s="191">
        <v>119.45</v>
      </c>
      <c r="DN37" s="191">
        <v>84.494</v>
      </c>
      <c r="DO37" s="191">
        <f>SUM(DC37:DN39)</f>
        <v>1594.386</v>
      </c>
      <c r="DP37" s="191">
        <v>27.5</v>
      </c>
      <c r="DQ37" s="191">
        <v>54.174999999999997</v>
      </c>
      <c r="DR37" s="191">
        <v>28.215</v>
      </c>
      <c r="DS37" s="191">
        <v>79.8</v>
      </c>
      <c r="DT37" s="191">
        <v>141.05000000000001</v>
      </c>
      <c r="DU37" s="191">
        <v>133.69</v>
      </c>
      <c r="DV37" s="191">
        <v>371.2</v>
      </c>
      <c r="DW37" s="191">
        <v>191.55</v>
      </c>
      <c r="DX37" s="191">
        <v>323.05</v>
      </c>
      <c r="DY37" s="191">
        <v>256.75</v>
      </c>
      <c r="DZ37" s="191">
        <v>319.69200000000001</v>
      </c>
      <c r="EA37" s="191">
        <v>281</v>
      </c>
      <c r="EB37" s="191">
        <f>SUM(DP37:EA37)</f>
        <v>2207.672</v>
      </c>
      <c r="EC37" s="191">
        <v>282.392</v>
      </c>
      <c r="ED37" s="191">
        <v>276.76</v>
      </c>
      <c r="EE37" s="191">
        <v>340.839</v>
      </c>
      <c r="EF37" s="191">
        <v>358.94299999999998</v>
      </c>
      <c r="EG37" s="191">
        <v>479.74099999999999</v>
      </c>
      <c r="EH37" s="191">
        <v>566.35199999999998</v>
      </c>
      <c r="EI37" s="191">
        <v>458.18599999999998</v>
      </c>
      <c r="EJ37" s="191">
        <v>240.9</v>
      </c>
      <c r="EK37" s="191">
        <v>166.096</v>
      </c>
      <c r="EL37" s="191">
        <v>295.37700000000001</v>
      </c>
      <c r="EM37" s="191">
        <v>35.459000000000003</v>
      </c>
      <c r="EN37" s="191">
        <v>130.42099999999999</v>
      </c>
      <c r="EO37" s="191">
        <f>SUM(EC37:EN37)</f>
        <v>3631.4659999999999</v>
      </c>
      <c r="EP37" s="191">
        <v>81.991</v>
      </c>
      <c r="EQ37" s="191">
        <v>30.56</v>
      </c>
      <c r="ER37" s="191">
        <v>61.837000000000003</v>
      </c>
      <c r="ES37" s="191">
        <v>28.254000000000001</v>
      </c>
      <c r="ET37" s="191">
        <v>74.16</v>
      </c>
      <c r="EU37" s="191">
        <v>266.86</v>
      </c>
      <c r="EV37" s="191">
        <v>111.60299999999999</v>
      </c>
      <c r="EW37" s="191">
        <v>11.803000000000001</v>
      </c>
      <c r="EX37" s="191">
        <v>127.44799999999999</v>
      </c>
      <c r="EY37" s="191">
        <v>14.545</v>
      </c>
      <c r="EZ37" s="191">
        <v>9.2449999999999992</v>
      </c>
      <c r="FA37" s="191">
        <v>34.325000000000003</v>
      </c>
      <c r="FB37" s="191">
        <f>SUM(EP37:FA37)</f>
        <v>852.63099999999997</v>
      </c>
      <c r="FC37" s="191">
        <v>0</v>
      </c>
      <c r="FD37" s="191">
        <v>4.1980000000000004</v>
      </c>
      <c r="FE37" s="191">
        <v>6.0750000000000002</v>
      </c>
      <c r="FF37" s="191">
        <v>4.8250000000000002</v>
      </c>
      <c r="FG37" s="191">
        <v>3.74</v>
      </c>
      <c r="FH37" s="191">
        <v>1.605</v>
      </c>
      <c r="FI37" s="191">
        <v>1.8660000000000001</v>
      </c>
      <c r="FJ37" s="191">
        <v>7.367</v>
      </c>
      <c r="FK37" s="191">
        <v>3.617</v>
      </c>
      <c r="FL37" s="191">
        <v>4.0430000000000001</v>
      </c>
      <c r="FM37" s="191">
        <v>25.895</v>
      </c>
      <c r="FN37" s="191">
        <v>4.1989999999999998</v>
      </c>
      <c r="FO37" s="191">
        <f>SUM(FC37:FN37)</f>
        <v>67.429999999999993</v>
      </c>
      <c r="FP37" s="191">
        <v>13.904999999999999</v>
      </c>
      <c r="FQ37" s="191">
        <v>2.879</v>
      </c>
      <c r="FR37" s="191">
        <v>2.59</v>
      </c>
      <c r="FS37" s="191">
        <v>1.2170000000000001</v>
      </c>
      <c r="FT37" s="191">
        <v>1.147</v>
      </c>
      <c r="FU37" s="191">
        <v>1.581</v>
      </c>
      <c r="FV37" s="191">
        <v>1.2929999999999999</v>
      </c>
      <c r="FW37" s="191">
        <v>0.40500000000000003</v>
      </c>
      <c r="FX37" s="191">
        <v>1.24</v>
      </c>
      <c r="FY37" s="191">
        <v>61.341000000000001</v>
      </c>
      <c r="FZ37" s="191">
        <v>0.35199999999999998</v>
      </c>
      <c r="GA37" s="191">
        <v>6.3E-2</v>
      </c>
      <c r="GB37" s="191">
        <f>SUM(FP37:GA37)</f>
        <v>88.013000000000005</v>
      </c>
      <c r="GC37" s="191">
        <v>0.98299999999999998</v>
      </c>
      <c r="GD37" s="191">
        <v>0</v>
      </c>
      <c r="GE37" s="191">
        <v>25</v>
      </c>
      <c r="GF37" s="191">
        <v>0.57699999999999996</v>
      </c>
      <c r="GG37" s="191">
        <v>8.5000000000000006E-2</v>
      </c>
      <c r="GH37" s="191">
        <v>0</v>
      </c>
      <c r="GI37" s="191">
        <v>0</v>
      </c>
      <c r="GJ37" s="191">
        <v>27.06</v>
      </c>
      <c r="GK37" s="191">
        <v>0</v>
      </c>
      <c r="GL37" s="191">
        <v>0</v>
      </c>
      <c r="GM37" s="191">
        <v>0</v>
      </c>
      <c r="GN37" s="191">
        <v>0</v>
      </c>
      <c r="GO37" s="191">
        <f>SUM(GC37:GN37)</f>
        <v>53.704999999999998</v>
      </c>
      <c r="GP37" s="191">
        <v>0</v>
      </c>
      <c r="GQ37" s="191">
        <v>100.74</v>
      </c>
      <c r="GR37" s="191">
        <v>0</v>
      </c>
      <c r="GS37" s="191">
        <v>0</v>
      </c>
      <c r="GT37" s="191">
        <v>0</v>
      </c>
      <c r="GU37" s="191">
        <v>0</v>
      </c>
      <c r="GV37" s="191">
        <v>0.107</v>
      </c>
      <c r="GW37" s="191">
        <v>0</v>
      </c>
      <c r="GX37" s="191">
        <v>0.22500000000000001</v>
      </c>
      <c r="GY37" s="191">
        <v>6.3E-2</v>
      </c>
      <c r="GZ37" s="191">
        <v>8.4000000000000005E-2</v>
      </c>
      <c r="HA37" s="191">
        <v>0.54500000000000004</v>
      </c>
      <c r="HB37" s="191">
        <v>0</v>
      </c>
      <c r="HC37" s="191">
        <v>0</v>
      </c>
      <c r="HD37" s="191">
        <v>0</v>
      </c>
      <c r="HE37" s="191">
        <v>0</v>
      </c>
      <c r="HF37" s="191">
        <v>0</v>
      </c>
      <c r="HG37" s="191">
        <v>0</v>
      </c>
      <c r="HH37" s="191">
        <v>0</v>
      </c>
      <c r="HI37" s="191">
        <v>0</v>
      </c>
      <c r="HJ37" s="191">
        <v>0</v>
      </c>
      <c r="HK37" s="191">
        <v>0.25</v>
      </c>
      <c r="HL37" s="191"/>
      <c r="HM37" s="191">
        <v>0.3</v>
      </c>
      <c r="HN37" s="191">
        <f>SUM(HB37:HM37)</f>
        <v>0.55000000000000004</v>
      </c>
      <c r="HO37" s="191">
        <v>0</v>
      </c>
      <c r="HP37" s="191">
        <v>0</v>
      </c>
      <c r="HQ37" s="191">
        <v>0</v>
      </c>
      <c r="HR37" s="191">
        <v>0</v>
      </c>
      <c r="HS37" s="191">
        <v>0</v>
      </c>
      <c r="HT37" s="191">
        <v>0</v>
      </c>
      <c r="HU37" s="410">
        <v>0</v>
      </c>
      <c r="HV37" s="191">
        <v>0</v>
      </c>
      <c r="HW37" s="191">
        <v>0</v>
      </c>
      <c r="HX37" s="191">
        <v>0</v>
      </c>
      <c r="HY37" s="191">
        <v>0.43</v>
      </c>
      <c r="HZ37" s="410">
        <v>0</v>
      </c>
      <c r="IA37" s="191">
        <v>0</v>
      </c>
      <c r="IB37" s="191">
        <v>0</v>
      </c>
      <c r="IC37" s="191">
        <v>0</v>
      </c>
      <c r="ID37" s="191">
        <v>0</v>
      </c>
      <c r="IE37" s="191">
        <v>0</v>
      </c>
      <c r="IF37" s="191">
        <v>0</v>
      </c>
      <c r="IG37" s="410">
        <v>1.29</v>
      </c>
      <c r="IH37" s="410">
        <v>0.25</v>
      </c>
      <c r="II37" s="410">
        <v>0</v>
      </c>
      <c r="IJ37" s="410">
        <v>1.9</v>
      </c>
      <c r="IK37" s="410">
        <v>14.25</v>
      </c>
      <c r="IL37" s="410">
        <v>0</v>
      </c>
      <c r="IM37" s="410">
        <v>0</v>
      </c>
      <c r="IN37" s="410">
        <v>0</v>
      </c>
      <c r="IO37" s="410">
        <v>0</v>
      </c>
      <c r="IP37" s="410">
        <v>0</v>
      </c>
      <c r="IQ37" s="410">
        <v>0</v>
      </c>
      <c r="IR37" s="410">
        <v>0</v>
      </c>
      <c r="IS37" s="410">
        <v>0</v>
      </c>
      <c r="IT37" s="410">
        <v>0</v>
      </c>
      <c r="IU37" s="410">
        <v>0</v>
      </c>
      <c r="IV37" s="410">
        <v>0</v>
      </c>
      <c r="IW37" s="410">
        <v>0</v>
      </c>
      <c r="IX37" s="410">
        <v>0</v>
      </c>
      <c r="IY37" s="410">
        <v>0</v>
      </c>
      <c r="IZ37" s="410">
        <v>0</v>
      </c>
      <c r="JA37" s="410"/>
      <c r="JB37" s="410"/>
      <c r="JC37" s="410"/>
      <c r="JD37" s="410"/>
      <c r="JE37" s="410"/>
      <c r="JF37" s="410"/>
      <c r="JG37" s="410"/>
      <c r="JH37" s="410"/>
      <c r="JI37" s="410"/>
      <c r="JJ37" s="410"/>
      <c r="JK37" s="410">
        <f t="shared" ref="JK37:JK38" si="66">+IM37+IN37</f>
        <v>0</v>
      </c>
      <c r="JL37" s="410">
        <f t="shared" ref="JL37:JL38" si="67">+IY37+IZ37</f>
        <v>0</v>
      </c>
      <c r="JM37" s="10"/>
      <c r="JN37" s="10"/>
      <c r="JO37" s="10"/>
      <c r="JP37" s="10"/>
      <c r="JQ37" s="10"/>
      <c r="JR37" s="10"/>
      <c r="JS37" s="10"/>
      <c r="JT37" s="9"/>
      <c r="JU37" s="11"/>
    </row>
    <row r="38" spans="1:281" x14ac:dyDescent="0.25">
      <c r="A38" s="91" t="s">
        <v>47</v>
      </c>
      <c r="B38" s="34"/>
      <c r="C38" s="34"/>
      <c r="D38" s="34"/>
      <c r="E38" s="79">
        <v>48</v>
      </c>
      <c r="F38" s="79">
        <v>1224</v>
      </c>
      <c r="G38" s="79">
        <v>29</v>
      </c>
      <c r="H38" s="79">
        <v>1234</v>
      </c>
      <c r="I38" s="79">
        <v>265</v>
      </c>
      <c r="J38" s="79">
        <v>835</v>
      </c>
      <c r="K38" s="79">
        <v>1110</v>
      </c>
      <c r="L38" s="79">
        <v>781</v>
      </c>
      <c r="M38" s="79">
        <v>984</v>
      </c>
      <c r="N38" s="92">
        <v>278</v>
      </c>
      <c r="O38" s="93">
        <v>243</v>
      </c>
      <c r="P38" s="92">
        <v>648</v>
      </c>
      <c r="Q38" s="93">
        <v>472</v>
      </c>
      <c r="R38" s="93">
        <v>672</v>
      </c>
      <c r="S38" s="92">
        <v>74</v>
      </c>
      <c r="T38" s="92">
        <v>18</v>
      </c>
      <c r="U38" s="69">
        <v>2</v>
      </c>
      <c r="V38" s="101" t="s">
        <v>29</v>
      </c>
      <c r="W38" s="103" t="s">
        <v>80</v>
      </c>
      <c r="X38" s="107" t="s">
        <v>29</v>
      </c>
      <c r="Y38" s="115" t="s">
        <v>29</v>
      </c>
      <c r="Z38" s="104">
        <v>178</v>
      </c>
      <c r="AA38" s="104">
        <v>172</v>
      </c>
      <c r="AB38" s="104">
        <v>57</v>
      </c>
      <c r="AC38" s="111">
        <v>152</v>
      </c>
      <c r="AD38" s="104">
        <v>19</v>
      </c>
      <c r="AE38" s="94">
        <f>SUM(S38:AD38)</f>
        <v>672</v>
      </c>
      <c r="AF38" s="105" t="s">
        <v>29</v>
      </c>
      <c r="AG38" s="101">
        <v>251</v>
      </c>
      <c r="AH38" s="105">
        <v>57</v>
      </c>
      <c r="AI38" s="101" t="s">
        <v>29</v>
      </c>
      <c r="AJ38" s="101" t="s">
        <v>29</v>
      </c>
      <c r="AK38" s="101" t="s">
        <v>29</v>
      </c>
      <c r="AL38" s="101" t="s">
        <v>29</v>
      </c>
      <c r="AM38" s="101" t="s">
        <v>29</v>
      </c>
      <c r="AN38" s="101" t="s">
        <v>29</v>
      </c>
      <c r="AO38" s="101" t="s">
        <v>29</v>
      </c>
      <c r="AP38" s="101" t="s">
        <v>29</v>
      </c>
      <c r="AQ38" s="101" t="s">
        <v>29</v>
      </c>
      <c r="AR38" s="101" t="s">
        <v>29</v>
      </c>
      <c r="AS38" s="101" t="s">
        <v>29</v>
      </c>
      <c r="AT38" s="101" t="s">
        <v>29</v>
      </c>
      <c r="AU38" s="101" t="s">
        <v>29</v>
      </c>
      <c r="AV38" s="101" t="s">
        <v>29</v>
      </c>
      <c r="AW38" s="101" t="s">
        <v>29</v>
      </c>
      <c r="AX38" s="101" t="s">
        <v>29</v>
      </c>
      <c r="AY38" s="101" t="s">
        <v>29</v>
      </c>
      <c r="AZ38" s="101" t="s">
        <v>29</v>
      </c>
      <c r="BA38" s="101" t="s">
        <v>29</v>
      </c>
      <c r="BB38" s="101">
        <v>0</v>
      </c>
      <c r="BC38" s="101"/>
      <c r="BD38" s="101"/>
      <c r="BE38" s="101"/>
      <c r="BF38" s="191"/>
      <c r="BG38" s="191"/>
      <c r="BH38" s="191">
        <v>0</v>
      </c>
      <c r="BI38" s="191">
        <v>0</v>
      </c>
      <c r="BJ38" s="191">
        <v>0</v>
      </c>
      <c r="BK38" s="191">
        <v>0</v>
      </c>
      <c r="BL38" s="191">
        <v>0</v>
      </c>
      <c r="BM38" s="191">
        <v>0</v>
      </c>
      <c r="BN38" s="191">
        <v>0</v>
      </c>
      <c r="BO38" s="191">
        <v>0</v>
      </c>
      <c r="BP38" s="191">
        <v>0</v>
      </c>
      <c r="BQ38" s="191">
        <v>0</v>
      </c>
      <c r="BR38" s="191">
        <v>0</v>
      </c>
      <c r="BS38" s="191">
        <v>0</v>
      </c>
      <c r="BT38" s="191">
        <v>0</v>
      </c>
      <c r="BU38" s="191">
        <v>0</v>
      </c>
      <c r="BV38" s="191">
        <v>0</v>
      </c>
      <c r="BW38" s="191">
        <v>0</v>
      </c>
      <c r="BX38" s="191">
        <v>0</v>
      </c>
      <c r="BY38" s="191">
        <v>0</v>
      </c>
      <c r="BZ38" s="191">
        <v>0</v>
      </c>
      <c r="CA38" s="191">
        <v>0</v>
      </c>
      <c r="CB38" s="191">
        <f>SUM(BP38:BZ38)</f>
        <v>0</v>
      </c>
      <c r="CC38" s="191" t="s">
        <v>29</v>
      </c>
      <c r="CD38" s="191" t="s">
        <v>29</v>
      </c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>
        <f>SUM(CC38:CE38)</f>
        <v>0</v>
      </c>
      <c r="CP38" s="191"/>
      <c r="CQ38" s="191"/>
      <c r="CR38" s="191"/>
      <c r="CS38" s="191">
        <v>0</v>
      </c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>
        <f>SUM(GC38:GN38)</f>
        <v>0</v>
      </c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>
        <v>0</v>
      </c>
      <c r="HB38" s="191">
        <v>0</v>
      </c>
      <c r="HC38" s="191">
        <v>0</v>
      </c>
      <c r="HD38" s="191">
        <v>0</v>
      </c>
      <c r="HE38" s="191">
        <v>0</v>
      </c>
      <c r="HF38" s="191">
        <v>0</v>
      </c>
      <c r="HG38" s="191">
        <v>0</v>
      </c>
      <c r="HH38" s="191">
        <v>0</v>
      </c>
      <c r="HI38" s="191">
        <v>0</v>
      </c>
      <c r="HJ38" s="191">
        <v>0</v>
      </c>
      <c r="HK38" s="191">
        <v>0</v>
      </c>
      <c r="HL38" s="191">
        <v>0</v>
      </c>
      <c r="HM38" s="191">
        <v>0</v>
      </c>
      <c r="HN38" s="191">
        <f>SUM(HB38:HM38)</f>
        <v>0</v>
      </c>
      <c r="HO38" s="191">
        <v>0</v>
      </c>
      <c r="HP38" s="191">
        <v>0</v>
      </c>
      <c r="HQ38" s="191">
        <v>0</v>
      </c>
      <c r="HR38" s="191">
        <v>0</v>
      </c>
      <c r="HS38" s="191">
        <v>0</v>
      </c>
      <c r="HT38" s="191">
        <v>0</v>
      </c>
      <c r="HU38" s="410">
        <v>0</v>
      </c>
      <c r="HV38" s="191">
        <v>0</v>
      </c>
      <c r="HW38" s="191">
        <v>0</v>
      </c>
      <c r="HX38" s="191">
        <v>0</v>
      </c>
      <c r="HY38" s="191">
        <v>0</v>
      </c>
      <c r="HZ38" s="410">
        <v>0</v>
      </c>
      <c r="IA38" s="191">
        <v>0</v>
      </c>
      <c r="IB38" s="191">
        <v>0</v>
      </c>
      <c r="IC38" s="191">
        <v>0</v>
      </c>
      <c r="ID38" s="191">
        <v>0</v>
      </c>
      <c r="IE38" s="191">
        <v>0</v>
      </c>
      <c r="IF38" s="191">
        <v>0</v>
      </c>
      <c r="IG38" s="410">
        <f>SUM(IA38:IF38)</f>
        <v>0</v>
      </c>
      <c r="IH38" s="410">
        <v>0</v>
      </c>
      <c r="II38" s="410">
        <v>0</v>
      </c>
      <c r="IJ38" s="410">
        <v>0</v>
      </c>
      <c r="IK38" s="410">
        <v>0</v>
      </c>
      <c r="IL38" s="410">
        <v>0</v>
      </c>
      <c r="IM38" s="410">
        <v>0</v>
      </c>
      <c r="IN38" s="410">
        <v>0</v>
      </c>
      <c r="IO38" s="410">
        <v>0</v>
      </c>
      <c r="IP38" s="410">
        <v>0</v>
      </c>
      <c r="IQ38" s="410">
        <v>0</v>
      </c>
      <c r="IR38" s="410">
        <v>0</v>
      </c>
      <c r="IS38" s="410">
        <v>0</v>
      </c>
      <c r="IT38" s="410">
        <v>0</v>
      </c>
      <c r="IU38" s="410">
        <v>0</v>
      </c>
      <c r="IV38" s="410">
        <v>0</v>
      </c>
      <c r="IW38" s="410">
        <v>0</v>
      </c>
      <c r="IX38" s="410">
        <v>0</v>
      </c>
      <c r="IY38" s="410">
        <v>0</v>
      </c>
      <c r="IZ38" s="410">
        <v>0</v>
      </c>
      <c r="JA38" s="410"/>
      <c r="JB38" s="410"/>
      <c r="JC38" s="410"/>
      <c r="JD38" s="410"/>
      <c r="JE38" s="410"/>
      <c r="JF38" s="410"/>
      <c r="JG38" s="410"/>
      <c r="JH38" s="410"/>
      <c r="JI38" s="410"/>
      <c r="JJ38" s="410"/>
      <c r="JK38" s="410">
        <f t="shared" si="66"/>
        <v>0</v>
      </c>
      <c r="JL38" s="410">
        <f t="shared" si="67"/>
        <v>0</v>
      </c>
      <c r="JM38" s="10"/>
      <c r="JN38" s="10"/>
      <c r="JO38" s="10"/>
      <c r="JP38" s="10"/>
      <c r="JQ38" s="10"/>
      <c r="JR38" s="10"/>
      <c r="JS38" s="10"/>
      <c r="JT38" s="11"/>
      <c r="JU38" s="11"/>
    </row>
    <row r="39" spans="1:281" x14ac:dyDescent="0.25">
      <c r="A39" s="55"/>
      <c r="B39" s="34"/>
      <c r="C39" s="34"/>
      <c r="D39" s="34"/>
      <c r="E39" s="79"/>
      <c r="F39" s="79"/>
      <c r="G39" s="79"/>
      <c r="H39" s="79"/>
      <c r="I39" s="79"/>
      <c r="J39" s="79"/>
      <c r="K39" s="79"/>
      <c r="L39" s="79"/>
      <c r="M39" s="112" t="s">
        <v>27</v>
      </c>
      <c r="N39" s="97" t="s">
        <v>27</v>
      </c>
      <c r="O39" s="98" t="s">
        <v>27</v>
      </c>
      <c r="P39" s="92"/>
      <c r="Q39" s="93"/>
      <c r="R39" s="93"/>
      <c r="S39" s="92"/>
      <c r="T39" s="92"/>
      <c r="U39" s="69"/>
      <c r="V39" s="69"/>
      <c r="W39" s="93"/>
      <c r="X39" s="93"/>
      <c r="Y39" s="94"/>
      <c r="Z39" s="93"/>
      <c r="AA39" s="93"/>
      <c r="AB39" s="93"/>
      <c r="AC39" s="94"/>
      <c r="AD39" s="93"/>
      <c r="AE39" s="94"/>
      <c r="AF39" s="93"/>
      <c r="AG39" s="93"/>
      <c r="AH39" s="94"/>
      <c r="AI39" s="94"/>
      <c r="AJ39" s="94"/>
      <c r="AK39" s="94"/>
      <c r="AL39" s="94"/>
      <c r="AM39" s="94"/>
      <c r="AN39" s="95"/>
      <c r="AO39" s="95"/>
      <c r="AP39" s="69"/>
      <c r="AQ39" s="95"/>
      <c r="AR39" s="101"/>
      <c r="AS39" s="69"/>
      <c r="AT39" s="69"/>
      <c r="AU39" s="95"/>
      <c r="AV39" s="69"/>
      <c r="AW39" s="69"/>
      <c r="AX39" s="95"/>
      <c r="AY39" s="93"/>
      <c r="AZ39" s="105"/>
      <c r="BA39" s="105"/>
      <c r="BB39" s="105"/>
      <c r="BC39" s="105"/>
      <c r="BD39" s="105"/>
      <c r="BE39" s="105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333"/>
      <c r="HO39" s="191"/>
      <c r="HP39" s="191"/>
      <c r="HQ39" s="191"/>
      <c r="HR39" s="191"/>
      <c r="HS39" s="191"/>
      <c r="HT39" s="191"/>
      <c r="HU39" s="410"/>
      <c r="HV39" s="376"/>
      <c r="HW39" s="376"/>
      <c r="HX39" s="376"/>
      <c r="HY39" s="376"/>
      <c r="HZ39" s="409"/>
      <c r="IA39" s="392"/>
      <c r="IB39" s="392"/>
      <c r="IC39" s="392"/>
      <c r="ID39" s="392"/>
      <c r="IE39" s="392"/>
      <c r="IF39" s="392"/>
      <c r="IG39" s="436"/>
      <c r="IH39" s="436"/>
      <c r="II39" s="436"/>
      <c r="IJ39" s="436"/>
      <c r="IK39" s="436"/>
      <c r="IL39" s="436"/>
      <c r="IM39" s="436"/>
      <c r="IN39" s="436"/>
      <c r="IO39" s="436"/>
      <c r="IP39" s="436"/>
      <c r="IQ39" s="436"/>
      <c r="IR39" s="436"/>
      <c r="IS39" s="436"/>
      <c r="IT39" s="436"/>
      <c r="IU39" s="436"/>
      <c r="IV39" s="436"/>
      <c r="IW39" s="436"/>
      <c r="IX39" s="436"/>
      <c r="IY39" s="436"/>
      <c r="IZ39" s="436"/>
      <c r="JA39" s="436"/>
      <c r="JB39" s="436"/>
      <c r="JC39" s="436"/>
      <c r="JD39" s="436"/>
      <c r="JE39" s="436"/>
      <c r="JF39" s="436"/>
      <c r="JG39" s="436"/>
      <c r="JH39" s="436"/>
      <c r="JI39" s="436"/>
      <c r="JJ39" s="436"/>
      <c r="JK39" s="408"/>
      <c r="JL39" s="436"/>
      <c r="JM39" s="11"/>
      <c r="JN39" s="11"/>
      <c r="JO39" s="11"/>
      <c r="JP39" s="12"/>
      <c r="JQ39" s="11"/>
      <c r="JR39" s="11"/>
      <c r="JS39" s="11"/>
      <c r="JT39" s="11"/>
      <c r="JU39" s="11"/>
    </row>
    <row r="40" spans="1:281" x14ac:dyDescent="0.25">
      <c r="A40" s="218" t="s">
        <v>48</v>
      </c>
      <c r="B40" s="34"/>
      <c r="C40" s="34"/>
      <c r="D40" s="34"/>
      <c r="E40" s="79"/>
      <c r="F40" s="79"/>
      <c r="G40" s="79"/>
      <c r="H40" s="79"/>
      <c r="I40" s="79"/>
      <c r="J40" s="79"/>
      <c r="K40" s="79"/>
      <c r="L40" s="79"/>
      <c r="M40" s="79"/>
      <c r="N40" s="92"/>
      <c r="O40" s="93"/>
      <c r="P40" s="92"/>
      <c r="Q40" s="93"/>
      <c r="R40" s="93"/>
      <c r="S40" s="92"/>
      <c r="T40" s="92"/>
      <c r="U40" s="69"/>
      <c r="V40" s="69"/>
      <c r="W40" s="93"/>
      <c r="X40" s="93"/>
      <c r="Y40" s="94"/>
      <c r="Z40" s="93"/>
      <c r="AA40" s="93"/>
      <c r="AB40" s="93"/>
      <c r="AC40" s="94"/>
      <c r="AD40" s="93"/>
      <c r="AE40" s="94"/>
      <c r="AF40" s="93"/>
      <c r="AG40" s="93"/>
      <c r="AH40" s="94"/>
      <c r="AI40" s="94"/>
      <c r="AJ40" s="94"/>
      <c r="AK40" s="94"/>
      <c r="AL40" s="94"/>
      <c r="AM40" s="94"/>
      <c r="AN40" s="95"/>
      <c r="AO40" s="95"/>
      <c r="AP40" s="69"/>
      <c r="AQ40" s="95"/>
      <c r="AR40" s="101"/>
      <c r="AS40" s="69"/>
      <c r="AT40" s="69"/>
      <c r="AU40" s="95"/>
      <c r="AV40" s="69"/>
      <c r="AW40" s="69"/>
      <c r="AX40" s="95"/>
      <c r="AY40" s="93"/>
      <c r="AZ40" s="105"/>
      <c r="BA40" s="105"/>
      <c r="BB40" s="105"/>
      <c r="BC40" s="105"/>
      <c r="BD40" s="105"/>
      <c r="BE40" s="105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333"/>
      <c r="HO40" s="191"/>
      <c r="HP40" s="191"/>
      <c r="HQ40" s="191"/>
      <c r="HR40" s="191"/>
      <c r="HS40" s="191"/>
      <c r="HT40" s="191"/>
      <c r="HU40" s="410"/>
      <c r="HV40" s="376"/>
      <c r="HW40" s="376"/>
      <c r="HX40" s="376"/>
      <c r="HY40" s="376"/>
      <c r="HZ40" s="409"/>
      <c r="IA40" s="392"/>
      <c r="IB40" s="392"/>
      <c r="IC40" s="392"/>
      <c r="ID40" s="392"/>
      <c r="IE40" s="392"/>
      <c r="IF40" s="392"/>
      <c r="IG40" s="436"/>
      <c r="IH40" s="436"/>
      <c r="II40" s="436"/>
      <c r="IJ40" s="436"/>
      <c r="IK40" s="436"/>
      <c r="IL40" s="436"/>
      <c r="IM40" s="436"/>
      <c r="IN40" s="436"/>
      <c r="IO40" s="436"/>
      <c r="IP40" s="436"/>
      <c r="IQ40" s="436"/>
      <c r="IR40" s="436"/>
      <c r="IS40" s="436"/>
      <c r="IT40" s="436"/>
      <c r="IU40" s="436"/>
      <c r="IV40" s="436"/>
      <c r="IW40" s="436"/>
      <c r="IX40" s="436"/>
      <c r="IY40" s="436"/>
      <c r="IZ40" s="436"/>
      <c r="JA40" s="436"/>
      <c r="JB40" s="436"/>
      <c r="JC40" s="436"/>
      <c r="JD40" s="436"/>
      <c r="JE40" s="436"/>
      <c r="JF40" s="436"/>
      <c r="JG40" s="436"/>
      <c r="JH40" s="436"/>
      <c r="JI40" s="436"/>
      <c r="JJ40" s="436"/>
      <c r="JK40" s="408"/>
      <c r="JL40" s="436"/>
      <c r="JM40" s="10"/>
      <c r="JN40" s="10"/>
      <c r="JO40" s="10"/>
      <c r="JP40" s="10"/>
      <c r="JQ40" s="10"/>
      <c r="JR40" s="10"/>
      <c r="JS40" s="10"/>
      <c r="JT40" s="9"/>
      <c r="JU40" s="11"/>
    </row>
    <row r="41" spans="1:281" s="303" customFormat="1" x14ac:dyDescent="0.25">
      <c r="A41" s="218" t="s">
        <v>49</v>
      </c>
      <c r="B41" s="34"/>
      <c r="C41" s="34"/>
      <c r="D41" s="34"/>
      <c r="E41" s="79">
        <f t="shared" ref="E41:Q41" si="68">SUM(E43:E45)</f>
        <v>16178</v>
      </c>
      <c r="F41" s="79">
        <f t="shared" si="68"/>
        <v>16720</v>
      </c>
      <c r="G41" s="79">
        <f t="shared" si="68"/>
        <v>13374</v>
      </c>
      <c r="H41" s="79">
        <f t="shared" si="68"/>
        <v>19357</v>
      </c>
      <c r="I41" s="79">
        <f t="shared" si="68"/>
        <v>16846</v>
      </c>
      <c r="J41" s="79">
        <f t="shared" si="68"/>
        <v>13636</v>
      </c>
      <c r="K41" s="79">
        <f t="shared" si="68"/>
        <v>14104</v>
      </c>
      <c r="L41" s="79">
        <f t="shared" si="68"/>
        <v>15350</v>
      </c>
      <c r="M41" s="79">
        <f t="shared" si="68"/>
        <v>6184</v>
      </c>
      <c r="N41" s="92">
        <f t="shared" si="68"/>
        <v>2779</v>
      </c>
      <c r="O41" s="93">
        <f t="shared" si="68"/>
        <v>2830</v>
      </c>
      <c r="P41" s="92">
        <f t="shared" si="68"/>
        <v>9297</v>
      </c>
      <c r="Q41" s="93">
        <f t="shared" si="68"/>
        <v>7473</v>
      </c>
      <c r="R41" s="93">
        <v>10134.808000000001</v>
      </c>
      <c r="S41" s="92">
        <f t="shared" ref="S41:AE41" si="69">SUM(S43:S45)</f>
        <v>1080</v>
      </c>
      <c r="T41" s="92">
        <f t="shared" si="69"/>
        <v>525</v>
      </c>
      <c r="U41" s="93">
        <f t="shared" si="69"/>
        <v>675</v>
      </c>
      <c r="V41" s="93">
        <f t="shared" si="69"/>
        <v>675</v>
      </c>
      <c r="W41" s="93">
        <f t="shared" si="69"/>
        <v>965</v>
      </c>
      <c r="X41" s="93">
        <f t="shared" si="69"/>
        <v>1182</v>
      </c>
      <c r="Y41" s="94">
        <f t="shared" si="69"/>
        <v>1272</v>
      </c>
      <c r="Z41" s="93">
        <f t="shared" si="69"/>
        <v>943</v>
      </c>
      <c r="AA41" s="93">
        <f t="shared" si="69"/>
        <v>554</v>
      </c>
      <c r="AB41" s="93">
        <f t="shared" si="69"/>
        <v>889</v>
      </c>
      <c r="AC41" s="93">
        <f t="shared" si="69"/>
        <v>476</v>
      </c>
      <c r="AD41" s="93">
        <f t="shared" si="69"/>
        <v>898.80799999999999</v>
      </c>
      <c r="AE41" s="94">
        <f t="shared" si="69"/>
        <v>10134.808000000001</v>
      </c>
      <c r="AF41" s="93">
        <v>8864.0300000000007</v>
      </c>
      <c r="AG41" s="93">
        <v>12611</v>
      </c>
      <c r="AH41" s="94">
        <v>13649</v>
      </c>
      <c r="AI41" s="94">
        <v>10842</v>
      </c>
      <c r="AJ41" s="94">
        <v>17646</v>
      </c>
      <c r="AK41" s="94">
        <v>17177</v>
      </c>
      <c r="AL41" s="94">
        <v>20807.576999999997</v>
      </c>
      <c r="AM41" s="94">
        <v>18481.177</v>
      </c>
      <c r="AN41" s="94">
        <f t="shared" ref="AN41:AY41" si="70">SUM(AN43:AN45)</f>
        <v>2000.425</v>
      </c>
      <c r="AO41" s="94">
        <f t="shared" si="70"/>
        <v>1330.307</v>
      </c>
      <c r="AP41" s="94">
        <f t="shared" si="70"/>
        <v>1340.018</v>
      </c>
      <c r="AQ41" s="94">
        <f t="shared" si="70"/>
        <v>1836.2950000000001</v>
      </c>
      <c r="AR41" s="94">
        <f t="shared" si="70"/>
        <v>571.93799999999999</v>
      </c>
      <c r="AS41" s="94">
        <f t="shared" si="70"/>
        <v>1505.654</v>
      </c>
      <c r="AT41" s="94">
        <f t="shared" si="70"/>
        <v>2173.058</v>
      </c>
      <c r="AU41" s="94">
        <f t="shared" si="70"/>
        <v>1538.9739999999999</v>
      </c>
      <c r="AV41" s="94">
        <f t="shared" si="70"/>
        <v>1389.23</v>
      </c>
      <c r="AW41" s="94">
        <f t="shared" si="70"/>
        <v>892.04</v>
      </c>
      <c r="AX41" s="94">
        <f t="shared" si="70"/>
        <v>1702.7270000000001</v>
      </c>
      <c r="AY41" s="93">
        <f t="shared" si="70"/>
        <v>2200.511</v>
      </c>
      <c r="AZ41" s="95">
        <f>SUM(AZ43:AZ46)</f>
        <v>18481.177</v>
      </c>
      <c r="BA41" s="95">
        <f>SUM(BA44:BA45)</f>
        <v>29958.833000000002</v>
      </c>
      <c r="BB41" s="95">
        <v>27469.278999999999</v>
      </c>
      <c r="BC41" s="95">
        <v>19030.365000000002</v>
      </c>
      <c r="BD41" s="95">
        <v>11371.037</v>
      </c>
      <c r="BE41" s="95">
        <v>7999.1759999999986</v>
      </c>
      <c r="BF41" s="333">
        <v>10140.430999999999</v>
      </c>
      <c r="BG41" s="333">
        <v>2737.26</v>
      </c>
      <c r="BH41" s="333">
        <v>1163.846</v>
      </c>
      <c r="BI41" s="333">
        <v>5889.0360000000001</v>
      </c>
      <c r="BJ41" s="333">
        <v>7037.6409999999996</v>
      </c>
      <c r="BK41" s="333">
        <v>2480.692</v>
      </c>
      <c r="BL41" s="333">
        <v>11818.957</v>
      </c>
      <c r="BM41" s="333">
        <v>6285.1550000000007</v>
      </c>
      <c r="BN41" s="333">
        <v>433.96800000000002</v>
      </c>
      <c r="BO41" s="333">
        <v>231.43300000000002</v>
      </c>
      <c r="BP41" s="333">
        <v>29.524999999999999</v>
      </c>
      <c r="BQ41" s="333">
        <v>39.200000000000003</v>
      </c>
      <c r="BR41" s="333">
        <v>60.17</v>
      </c>
      <c r="BS41" s="333">
        <v>14.86</v>
      </c>
      <c r="BT41" s="333">
        <v>113.95</v>
      </c>
      <c r="BU41" s="333">
        <v>0</v>
      </c>
      <c r="BV41" s="333">
        <v>14.4</v>
      </c>
      <c r="BW41" s="333">
        <v>16.45</v>
      </c>
      <c r="BX41" s="333">
        <v>93.4</v>
      </c>
      <c r="BY41" s="333">
        <v>37.1</v>
      </c>
      <c r="BZ41" s="333">
        <v>10.493</v>
      </c>
      <c r="CA41" s="333">
        <v>433.96800000000002</v>
      </c>
      <c r="CB41" s="333">
        <f t="shared" ref="CB41" si="71">SUM(CB43:CB46)</f>
        <v>863.51599999999996</v>
      </c>
      <c r="CC41" s="333">
        <f>SUM(CC43:CC46)</f>
        <v>2170.91</v>
      </c>
      <c r="CD41" s="333">
        <f>SUM(CD43:CD46)</f>
        <v>1773.502</v>
      </c>
      <c r="CE41" s="333">
        <f>SUM(CE43:CE46)</f>
        <v>2034.76</v>
      </c>
      <c r="CF41" s="333">
        <f t="shared" ref="CF41:CN41" si="72">SUM(CF43:CF46)</f>
        <v>1900.02</v>
      </c>
      <c r="CG41" s="333">
        <f t="shared" si="72"/>
        <v>388.625</v>
      </c>
      <c r="CH41" s="333">
        <f t="shared" si="72"/>
        <v>991.22</v>
      </c>
      <c r="CI41" s="333">
        <f t="shared" si="72"/>
        <v>1044.5360000000001</v>
      </c>
      <c r="CJ41" s="333">
        <f t="shared" si="72"/>
        <v>1064.3779999999999</v>
      </c>
      <c r="CK41" s="333">
        <f t="shared" si="72"/>
        <v>3825.66</v>
      </c>
      <c r="CL41" s="333">
        <f t="shared" si="72"/>
        <v>3192.2020000000002</v>
      </c>
      <c r="CM41" s="333">
        <f t="shared" si="72"/>
        <v>4118.45</v>
      </c>
      <c r="CN41" s="333">
        <f t="shared" si="72"/>
        <v>4965.0159999999996</v>
      </c>
      <c r="CO41" s="333">
        <f>SUM(CO44:CO45)</f>
        <v>27469.278999999999</v>
      </c>
      <c r="CP41" s="333">
        <f>SUM(CP44:CP45)</f>
        <v>3556.511</v>
      </c>
      <c r="CQ41" s="333">
        <f t="shared" ref="CQ41:DB41" si="73">SUM(CQ44:CQ45)</f>
        <v>2752.002</v>
      </c>
      <c r="CR41" s="333">
        <f t="shared" si="73"/>
        <v>2139.6979999999999</v>
      </c>
      <c r="CS41" s="333">
        <f t="shared" si="73"/>
        <v>1582.721</v>
      </c>
      <c r="CT41" s="333">
        <f t="shared" si="73"/>
        <v>1168.626</v>
      </c>
      <c r="CU41" s="333">
        <f t="shared" si="73"/>
        <v>876.95299999999997</v>
      </c>
      <c r="CV41" s="333">
        <f t="shared" si="73"/>
        <v>922.23599999999999</v>
      </c>
      <c r="CW41" s="333">
        <f t="shared" si="73"/>
        <v>1258.473</v>
      </c>
      <c r="CX41" s="333">
        <f t="shared" si="73"/>
        <v>1324.2149999999999</v>
      </c>
      <c r="CY41" s="333">
        <f t="shared" si="73"/>
        <v>1507.299</v>
      </c>
      <c r="CZ41" s="333">
        <f t="shared" si="73"/>
        <v>982.36400000000003</v>
      </c>
      <c r="DA41" s="333">
        <f t="shared" si="73"/>
        <v>959.26700000000005</v>
      </c>
      <c r="DB41" s="333">
        <f t="shared" si="73"/>
        <v>19030.365000000002</v>
      </c>
      <c r="DC41" s="333">
        <f t="shared" ref="DC41:DN41" si="74">SUM(DC44:DC45)</f>
        <v>1448.605</v>
      </c>
      <c r="DD41" s="333">
        <f t="shared" si="74"/>
        <v>389.74599999999998</v>
      </c>
      <c r="DE41" s="333">
        <f t="shared" si="74"/>
        <v>974.85</v>
      </c>
      <c r="DF41" s="333">
        <f t="shared" si="74"/>
        <v>756.99300000000005</v>
      </c>
      <c r="DG41" s="333">
        <f t="shared" si="74"/>
        <v>935.45</v>
      </c>
      <c r="DH41" s="333">
        <f t="shared" si="74"/>
        <v>1141.1600000000001</v>
      </c>
      <c r="DI41" s="333">
        <f t="shared" si="74"/>
        <v>855.67200000000003</v>
      </c>
      <c r="DJ41" s="333">
        <f t="shared" si="74"/>
        <v>617.50300000000004</v>
      </c>
      <c r="DK41" s="333">
        <f t="shared" si="74"/>
        <v>504.52</v>
      </c>
      <c r="DL41" s="333">
        <f t="shared" si="74"/>
        <v>1947.95</v>
      </c>
      <c r="DM41" s="333">
        <f t="shared" si="74"/>
        <v>1065.5</v>
      </c>
      <c r="DN41" s="333">
        <f t="shared" si="74"/>
        <v>733.08799999999997</v>
      </c>
      <c r="DO41" s="333">
        <f t="shared" ref="DO41:DT41" si="75">SUM(DO44:DO45)</f>
        <v>11371.037</v>
      </c>
      <c r="DP41" s="333">
        <f t="shared" si="75"/>
        <v>1020.83</v>
      </c>
      <c r="DQ41" s="333">
        <f t="shared" si="75"/>
        <v>936.43799999999999</v>
      </c>
      <c r="DR41" s="333">
        <f t="shared" si="75"/>
        <v>297.68200000000002</v>
      </c>
      <c r="DS41" s="333">
        <f t="shared" si="75"/>
        <v>976.91700000000003</v>
      </c>
      <c r="DT41" s="333">
        <f t="shared" si="75"/>
        <v>72.400000000000006</v>
      </c>
      <c r="DU41" s="333">
        <f t="shared" ref="DU41:DZ41" si="76">SUM(DU44:DU45)</f>
        <v>459.73</v>
      </c>
      <c r="DV41" s="333">
        <f t="shared" si="76"/>
        <v>453.68799999999999</v>
      </c>
      <c r="DW41" s="333">
        <f t="shared" si="76"/>
        <v>843.85199999999998</v>
      </c>
      <c r="DX41" s="333">
        <f t="shared" si="76"/>
        <v>335.34</v>
      </c>
      <c r="DY41" s="333">
        <f t="shared" si="76"/>
        <v>1138.3510000000001</v>
      </c>
      <c r="DZ41" s="333">
        <f t="shared" si="76"/>
        <v>998.40000000000009</v>
      </c>
      <c r="EA41" s="333">
        <f t="shared" ref="EA41:GN41" si="77">SUM(EA44:EA45)</f>
        <v>465.548</v>
      </c>
      <c r="EB41" s="333">
        <f t="shared" si="77"/>
        <v>7999.1759999999986</v>
      </c>
      <c r="EC41" s="333">
        <f t="shared" si="77"/>
        <v>1782.867</v>
      </c>
      <c r="ED41" s="333">
        <f t="shared" si="77"/>
        <v>747.16200000000003</v>
      </c>
      <c r="EE41" s="333">
        <f t="shared" si="77"/>
        <v>1392.2860000000001</v>
      </c>
      <c r="EF41" s="333">
        <f t="shared" si="77"/>
        <v>361.81</v>
      </c>
      <c r="EG41" s="333">
        <f t="shared" si="77"/>
        <v>786.45399999999995</v>
      </c>
      <c r="EH41" s="333">
        <f t="shared" si="77"/>
        <v>514.24400000000003</v>
      </c>
      <c r="EI41" s="333">
        <f t="shared" si="77"/>
        <v>1373.673</v>
      </c>
      <c r="EJ41" s="333">
        <f t="shared" si="77"/>
        <v>617.64200000000005</v>
      </c>
      <c r="EK41" s="333">
        <f t="shared" si="77"/>
        <v>673.25800000000004</v>
      </c>
      <c r="EL41" s="333">
        <f>SUM(EL44:EL45)</f>
        <v>963.08500000000004</v>
      </c>
      <c r="EM41" s="333">
        <f>SUM(EM44:EM45)</f>
        <v>446.29899999999998</v>
      </c>
      <c r="EN41" s="333">
        <f>SUM(EN44:EN45)</f>
        <v>481.65100000000001</v>
      </c>
      <c r="EO41" s="333">
        <f t="shared" si="77"/>
        <v>10140.430999999999</v>
      </c>
      <c r="EP41" s="333">
        <f t="shared" si="77"/>
        <v>675.06100000000004</v>
      </c>
      <c r="EQ41" s="333">
        <f t="shared" si="77"/>
        <v>584.51400000000001</v>
      </c>
      <c r="ER41" s="333">
        <f t="shared" si="77"/>
        <v>190.86500000000001</v>
      </c>
      <c r="ES41" s="333">
        <f t="shared" si="77"/>
        <v>74.125</v>
      </c>
      <c r="ET41" s="333">
        <f t="shared" si="77"/>
        <v>144.31</v>
      </c>
      <c r="EU41" s="333">
        <f t="shared" si="77"/>
        <v>228.54</v>
      </c>
      <c r="EV41" s="333">
        <f t="shared" si="77"/>
        <v>251.41800000000001</v>
      </c>
      <c r="EW41" s="333">
        <f t="shared" si="77"/>
        <v>162.065</v>
      </c>
      <c r="EX41" s="333">
        <f t="shared" si="77"/>
        <v>61.03</v>
      </c>
      <c r="EY41" s="333">
        <f t="shared" si="77"/>
        <v>78.108999999999995</v>
      </c>
      <c r="EZ41" s="333">
        <f t="shared" si="77"/>
        <v>201.34299999999999</v>
      </c>
      <c r="FA41" s="333">
        <f t="shared" si="77"/>
        <v>85.88</v>
      </c>
      <c r="FB41" s="333">
        <f t="shared" si="77"/>
        <v>2737.26</v>
      </c>
      <c r="FC41" s="333">
        <f t="shared" si="77"/>
        <v>117.77500000000001</v>
      </c>
      <c r="FD41" s="333">
        <f t="shared" si="77"/>
        <v>106.64100000000001</v>
      </c>
      <c r="FE41" s="333">
        <f t="shared" si="77"/>
        <v>51.281999999999996</v>
      </c>
      <c r="FF41" s="333">
        <f t="shared" si="77"/>
        <v>26.55</v>
      </c>
      <c r="FG41" s="333">
        <f t="shared" si="77"/>
        <v>101.75</v>
      </c>
      <c r="FH41" s="333">
        <f t="shared" si="77"/>
        <v>119.82599999999999</v>
      </c>
      <c r="FI41" s="333">
        <f t="shared" si="77"/>
        <v>59.7</v>
      </c>
      <c r="FJ41" s="333">
        <f t="shared" si="77"/>
        <v>157.06299999999999</v>
      </c>
      <c r="FK41" s="333">
        <f t="shared" si="77"/>
        <v>58.744999999999997</v>
      </c>
      <c r="FL41" s="333">
        <f t="shared" si="77"/>
        <v>54.62</v>
      </c>
      <c r="FM41" s="333">
        <f t="shared" si="77"/>
        <v>42.716000000000001</v>
      </c>
      <c r="FN41" s="333">
        <f t="shared" si="77"/>
        <v>267.178</v>
      </c>
      <c r="FO41" s="333">
        <f t="shared" ref="FO41:GA41" si="78">SUM(FO44:FO45)</f>
        <v>1163.846</v>
      </c>
      <c r="FP41" s="333">
        <f t="shared" si="78"/>
        <v>118.65</v>
      </c>
      <c r="FQ41" s="333">
        <f t="shared" si="78"/>
        <v>131.054</v>
      </c>
      <c r="FR41" s="333">
        <f t="shared" si="78"/>
        <v>353.8</v>
      </c>
      <c r="FS41" s="333">
        <f t="shared" si="78"/>
        <v>1094.211</v>
      </c>
      <c r="FT41" s="333">
        <f t="shared" si="78"/>
        <v>777.10400000000004</v>
      </c>
      <c r="FU41" s="333">
        <f t="shared" si="78"/>
        <v>827.16</v>
      </c>
      <c r="FV41" s="333">
        <f t="shared" si="78"/>
        <v>960.94299999999998</v>
      </c>
      <c r="FW41" s="333">
        <f t="shared" si="78"/>
        <v>123.375</v>
      </c>
      <c r="FX41" s="333">
        <f t="shared" si="78"/>
        <v>36.11</v>
      </c>
      <c r="FY41" s="333">
        <f t="shared" si="78"/>
        <v>70.72</v>
      </c>
      <c r="FZ41" s="333">
        <f t="shared" si="78"/>
        <v>1167.9000000000001</v>
      </c>
      <c r="GA41" s="333">
        <f t="shared" si="78"/>
        <v>228.00899999999999</v>
      </c>
      <c r="GB41" s="333">
        <f t="shared" si="77"/>
        <v>5889.0360000000001</v>
      </c>
      <c r="GC41" s="333">
        <f t="shared" si="77"/>
        <v>25.26</v>
      </c>
      <c r="GD41" s="333">
        <f t="shared" si="77"/>
        <v>35.28</v>
      </c>
      <c r="GE41" s="333">
        <f t="shared" si="77"/>
        <v>560.54300000000001</v>
      </c>
      <c r="GF41" s="333">
        <f t="shared" si="77"/>
        <v>1166.4449999999999</v>
      </c>
      <c r="GG41" s="333">
        <f t="shared" si="77"/>
        <v>1277.7190000000001</v>
      </c>
      <c r="GH41" s="333">
        <f t="shared" si="77"/>
        <v>1267.5350000000001</v>
      </c>
      <c r="GI41" s="333">
        <f t="shared" si="77"/>
        <v>938.01400000000001</v>
      </c>
      <c r="GJ41" s="333">
        <f t="shared" si="77"/>
        <v>50.03</v>
      </c>
      <c r="GK41" s="333">
        <f t="shared" si="77"/>
        <v>1006.325</v>
      </c>
      <c r="GL41" s="333">
        <f t="shared" si="77"/>
        <v>23.19</v>
      </c>
      <c r="GM41" s="333">
        <f t="shared" si="77"/>
        <v>229.8</v>
      </c>
      <c r="GN41" s="333">
        <f t="shared" si="77"/>
        <v>457.5</v>
      </c>
      <c r="GO41" s="333">
        <f>SUM(GO44:GO45)</f>
        <v>7037.6409999999996</v>
      </c>
      <c r="GP41" s="333">
        <f t="shared" ref="GP41:GX41" si="79">SUM(GP44:GP45)</f>
        <v>67.284999999999997</v>
      </c>
      <c r="GQ41" s="333">
        <f t="shared" si="79"/>
        <v>25.01</v>
      </c>
      <c r="GR41" s="333">
        <f t="shared" si="79"/>
        <v>801.39599999999996</v>
      </c>
      <c r="GS41" s="333">
        <f t="shared" si="79"/>
        <v>43.769999999999996</v>
      </c>
      <c r="GT41" s="333">
        <f t="shared" si="79"/>
        <v>7.1</v>
      </c>
      <c r="GU41" s="333">
        <f t="shared" si="79"/>
        <v>96.89</v>
      </c>
      <c r="GV41" s="333">
        <f t="shared" si="79"/>
        <v>13.204000000000001</v>
      </c>
      <c r="GW41" s="333">
        <f t="shared" si="79"/>
        <v>406.72699999999998</v>
      </c>
      <c r="GX41" s="333">
        <f t="shared" si="79"/>
        <v>20.61</v>
      </c>
      <c r="GY41" s="333">
        <f t="shared" ref="GY41:HA41" si="80">SUM(GY43:GY45)</f>
        <v>14.93</v>
      </c>
      <c r="GZ41" s="333">
        <f t="shared" si="80"/>
        <v>2.86</v>
      </c>
      <c r="HA41" s="333">
        <f t="shared" si="80"/>
        <v>980.91</v>
      </c>
      <c r="HB41" s="333">
        <f t="shared" ref="HB41:HO41" si="81">SUM(HB44:HB45)</f>
        <v>69.337000000000003</v>
      </c>
      <c r="HC41" s="333">
        <f t="shared" si="81"/>
        <v>560.20000000000005</v>
      </c>
      <c r="HD41" s="333">
        <f t="shared" si="81"/>
        <v>1521.16</v>
      </c>
      <c r="HE41" s="333">
        <f t="shared" si="81"/>
        <v>5847.107</v>
      </c>
      <c r="HF41" s="333">
        <f t="shared" si="81"/>
        <v>1432.8789999999999</v>
      </c>
      <c r="HG41" s="333">
        <f t="shared" si="81"/>
        <v>210.53100000000001</v>
      </c>
      <c r="HH41" s="333">
        <f t="shared" si="81"/>
        <v>1232.1510000000001</v>
      </c>
      <c r="HI41" s="333">
        <f t="shared" si="81"/>
        <v>332.69400000000002</v>
      </c>
      <c r="HJ41" s="333">
        <f t="shared" si="81"/>
        <v>12.5</v>
      </c>
      <c r="HK41" s="333">
        <f t="shared" si="81"/>
        <v>66.33</v>
      </c>
      <c r="HL41" s="333">
        <f t="shared" si="81"/>
        <v>20.774999999999999</v>
      </c>
      <c r="HM41" s="333">
        <f t="shared" si="81"/>
        <v>513.29300000000001</v>
      </c>
      <c r="HN41" s="333">
        <f>SUM(HB41:HM41)</f>
        <v>11818.957</v>
      </c>
      <c r="HO41" s="333">
        <f t="shared" si="81"/>
        <v>557.37199999999996</v>
      </c>
      <c r="HP41" s="333">
        <f>SUM(HP44:HP45)</f>
        <v>486.07600000000002</v>
      </c>
      <c r="HQ41" s="333">
        <f>SUM(HQ44:HQ45)</f>
        <v>891.22</v>
      </c>
      <c r="HR41" s="333">
        <f>SUM(HR44:HR45)</f>
        <v>165.04599999999999</v>
      </c>
      <c r="HS41" s="333">
        <f>SUM(HS44:HS45)</f>
        <v>1939.0609999999999</v>
      </c>
      <c r="HT41" s="333">
        <f>SUM(HT43:HT45)</f>
        <v>580.47799999999995</v>
      </c>
      <c r="HU41" s="408">
        <f t="shared" ref="HU41:HZ41" si="82">HU43+HU44+HU45</f>
        <v>1138.576</v>
      </c>
      <c r="HV41" s="333">
        <f t="shared" si="82"/>
        <v>105.3</v>
      </c>
      <c r="HW41" s="333">
        <f t="shared" si="82"/>
        <v>28.75</v>
      </c>
      <c r="HX41" s="333">
        <f t="shared" si="82"/>
        <v>16.5</v>
      </c>
      <c r="HY41" s="397">
        <f t="shared" si="82"/>
        <v>205.18</v>
      </c>
      <c r="HZ41" s="415">
        <f t="shared" si="82"/>
        <v>171.596</v>
      </c>
      <c r="IA41" s="333">
        <v>4.42</v>
      </c>
      <c r="IB41" s="333">
        <f t="shared" ref="IB41:II41" si="83">IB43+IB44+IB45</f>
        <v>29.524999999999999</v>
      </c>
      <c r="IC41" s="333">
        <f t="shared" si="83"/>
        <v>39.200000000000003</v>
      </c>
      <c r="ID41" s="333">
        <f t="shared" si="83"/>
        <v>60.17</v>
      </c>
      <c r="IE41" s="333">
        <f t="shared" si="83"/>
        <v>14.86</v>
      </c>
      <c r="IF41" s="333">
        <f t="shared" si="83"/>
        <v>113.95</v>
      </c>
      <c r="IG41" s="408">
        <f t="shared" si="83"/>
        <v>0</v>
      </c>
      <c r="IH41" s="333">
        <f t="shared" si="83"/>
        <v>14.4</v>
      </c>
      <c r="II41" s="333">
        <f t="shared" si="83"/>
        <v>16.45</v>
      </c>
      <c r="IJ41" s="333">
        <f t="shared" ref="IJ41:IZ41" si="84">IJ43+IJ44+IJ45</f>
        <v>93.4</v>
      </c>
      <c r="IK41" s="333">
        <f t="shared" si="84"/>
        <v>37.1</v>
      </c>
      <c r="IL41" s="333">
        <f t="shared" si="84"/>
        <v>10.493</v>
      </c>
      <c r="IM41" s="333">
        <f t="shared" si="84"/>
        <v>6.8</v>
      </c>
      <c r="IN41" s="333">
        <f t="shared" si="84"/>
        <v>2.5</v>
      </c>
      <c r="IO41" s="333">
        <f t="shared" si="84"/>
        <v>154.46</v>
      </c>
      <c r="IP41" s="333">
        <f t="shared" si="84"/>
        <v>0.85</v>
      </c>
      <c r="IQ41" s="333">
        <f t="shared" si="84"/>
        <v>0</v>
      </c>
      <c r="IR41" s="333">
        <f t="shared" si="84"/>
        <v>10.717000000000001</v>
      </c>
      <c r="IS41" s="333">
        <f t="shared" si="84"/>
        <v>0</v>
      </c>
      <c r="IT41" s="333">
        <f t="shared" si="84"/>
        <v>7</v>
      </c>
      <c r="IU41" s="333">
        <f t="shared" si="84"/>
        <v>0</v>
      </c>
      <c r="IV41" s="333">
        <f t="shared" si="84"/>
        <v>27.036000000000001</v>
      </c>
      <c r="IW41" s="333">
        <f t="shared" si="84"/>
        <v>18</v>
      </c>
      <c r="IX41" s="333">
        <f t="shared" si="84"/>
        <v>4.07</v>
      </c>
      <c r="IY41" s="333">
        <f t="shared" si="84"/>
        <v>0</v>
      </c>
      <c r="IZ41" s="333">
        <f t="shared" si="84"/>
        <v>0</v>
      </c>
      <c r="JA41" s="333"/>
      <c r="JB41" s="333"/>
      <c r="JC41" s="333"/>
      <c r="JD41" s="333"/>
      <c r="JE41" s="333"/>
      <c r="JF41" s="333"/>
      <c r="JG41" s="333"/>
      <c r="JH41" s="333"/>
      <c r="JI41" s="333"/>
      <c r="JJ41" s="333"/>
      <c r="JK41" s="408">
        <f>+JK43+JK44+JK45</f>
        <v>9.3000000000000007</v>
      </c>
      <c r="JL41" s="408">
        <f>+JL43+JL44+JL45</f>
        <v>0</v>
      </c>
      <c r="JM41" s="305"/>
      <c r="JN41" s="305"/>
      <c r="JO41" s="305"/>
      <c r="JP41" s="305"/>
      <c r="JQ41" s="305"/>
      <c r="JR41" s="305"/>
      <c r="JS41" s="305"/>
      <c r="JT41" s="304"/>
      <c r="JU41" s="306"/>
    </row>
    <row r="42" spans="1:281" ht="0.75" customHeight="1" x14ac:dyDescent="0.25">
      <c r="A42" s="55"/>
      <c r="B42" s="34"/>
      <c r="C42" s="34"/>
      <c r="D42" s="34"/>
      <c r="E42" s="79"/>
      <c r="F42" s="79"/>
      <c r="G42" s="79"/>
      <c r="H42" s="79"/>
      <c r="I42" s="79"/>
      <c r="J42" s="79"/>
      <c r="K42" s="79"/>
      <c r="L42" s="79"/>
      <c r="M42" s="112" t="s">
        <v>27</v>
      </c>
      <c r="N42" s="97" t="s">
        <v>27</v>
      </c>
      <c r="O42" s="98" t="s">
        <v>27</v>
      </c>
      <c r="P42" s="92"/>
      <c r="Q42" s="93"/>
      <c r="R42" s="93"/>
      <c r="S42" s="92"/>
      <c r="T42" s="92"/>
      <c r="U42" s="69"/>
      <c r="V42" s="69"/>
      <c r="W42" s="93"/>
      <c r="X42" s="93"/>
      <c r="Y42" s="94"/>
      <c r="Z42" s="93"/>
      <c r="AA42" s="93"/>
      <c r="AB42" s="93"/>
      <c r="AC42" s="94"/>
      <c r="AD42" s="93"/>
      <c r="AE42" s="94"/>
      <c r="AF42" s="93"/>
      <c r="AG42" s="93"/>
      <c r="AH42" s="94"/>
      <c r="AI42" s="94"/>
      <c r="AJ42" s="94"/>
      <c r="AK42" s="94"/>
      <c r="AL42" s="94"/>
      <c r="AM42" s="94"/>
      <c r="AN42" s="95"/>
      <c r="AO42" s="95"/>
      <c r="AP42" s="69"/>
      <c r="AQ42" s="95"/>
      <c r="AR42" s="101"/>
      <c r="AS42" s="69"/>
      <c r="AT42" s="69"/>
      <c r="AU42" s="95"/>
      <c r="AV42" s="69"/>
      <c r="AW42" s="69"/>
      <c r="AX42" s="95"/>
      <c r="AY42" s="93"/>
      <c r="AZ42" s="105"/>
      <c r="BA42" s="105"/>
      <c r="BB42" s="105"/>
      <c r="BC42" s="105"/>
      <c r="BD42" s="105"/>
      <c r="BE42" s="105"/>
      <c r="BF42" s="191"/>
      <c r="BG42" s="191"/>
      <c r="BH42" s="191"/>
      <c r="BI42" s="191"/>
      <c r="BJ42" s="191"/>
      <c r="BK42" s="191"/>
      <c r="BL42" s="191">
        <v>0</v>
      </c>
      <c r="BM42" s="191">
        <v>0</v>
      </c>
      <c r="BN42" s="191">
        <v>0</v>
      </c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>
        <v>0</v>
      </c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333">
        <f>HB42+HC42+HD42+HE42</f>
        <v>0</v>
      </c>
      <c r="HO42" s="191"/>
      <c r="HP42" s="191"/>
      <c r="HQ42" s="191"/>
      <c r="HR42" s="191"/>
      <c r="HS42" s="333"/>
      <c r="HT42" s="333"/>
      <c r="HU42" s="408"/>
      <c r="HV42" s="375"/>
      <c r="HW42" s="375"/>
      <c r="HX42" s="375"/>
      <c r="HY42" s="375"/>
      <c r="HZ42" s="412"/>
      <c r="IA42" s="391">
        <v>0</v>
      </c>
      <c r="IB42" s="391"/>
      <c r="IC42" s="391"/>
      <c r="ID42" s="391"/>
      <c r="IE42" s="391"/>
      <c r="IF42" s="391"/>
      <c r="IG42" s="437"/>
      <c r="IH42" s="437"/>
      <c r="II42" s="437"/>
      <c r="IJ42" s="437"/>
      <c r="IK42" s="437"/>
      <c r="IL42" s="437"/>
      <c r="IM42" s="437"/>
      <c r="IN42" s="437"/>
      <c r="IO42" s="437"/>
      <c r="IP42" s="437"/>
      <c r="IQ42" s="437"/>
      <c r="IR42" s="437"/>
      <c r="IS42" s="437"/>
      <c r="IT42" s="437"/>
      <c r="IU42" s="437"/>
      <c r="IV42" s="437"/>
      <c r="IW42" s="437"/>
      <c r="IX42" s="437"/>
      <c r="IY42" s="437"/>
      <c r="IZ42" s="437"/>
      <c r="JA42" s="437"/>
      <c r="JB42" s="437"/>
      <c r="JC42" s="437"/>
      <c r="JD42" s="437"/>
      <c r="JE42" s="437"/>
      <c r="JF42" s="437"/>
      <c r="JG42" s="437"/>
      <c r="JH42" s="437"/>
      <c r="JI42" s="437"/>
      <c r="JJ42" s="437"/>
      <c r="JK42" s="408">
        <f t="shared" ref="JK13:JK58" si="85">+IM42</f>
        <v>0</v>
      </c>
      <c r="JL42" s="437"/>
      <c r="JM42" s="9"/>
      <c r="JN42" s="9"/>
      <c r="JO42" s="9"/>
      <c r="JP42" s="9"/>
      <c r="JQ42" s="9"/>
      <c r="JR42" s="9"/>
      <c r="JS42" s="9"/>
      <c r="JT42" s="9"/>
      <c r="JU42" s="9"/>
    </row>
    <row r="43" spans="1:281" x14ac:dyDescent="0.25">
      <c r="A43" s="91" t="s">
        <v>50</v>
      </c>
      <c r="B43" s="34"/>
      <c r="C43" s="34"/>
      <c r="D43" s="34"/>
      <c r="E43" s="79">
        <v>4781</v>
      </c>
      <c r="F43" s="79">
        <v>4961</v>
      </c>
      <c r="G43" s="79">
        <v>4041</v>
      </c>
      <c r="H43" s="79">
        <v>4301</v>
      </c>
      <c r="I43" s="79">
        <v>4334</v>
      </c>
      <c r="J43" s="79">
        <v>2345</v>
      </c>
      <c r="K43" s="79">
        <v>4221</v>
      </c>
      <c r="L43" s="79">
        <v>6917</v>
      </c>
      <c r="M43" s="79">
        <v>1433</v>
      </c>
      <c r="N43" s="102" t="s">
        <v>29</v>
      </c>
      <c r="O43" s="101" t="s">
        <v>29</v>
      </c>
      <c r="P43" s="102" t="s">
        <v>29</v>
      </c>
      <c r="Q43" s="101" t="s">
        <v>29</v>
      </c>
      <c r="R43" s="104" t="s">
        <v>29</v>
      </c>
      <c r="S43" s="113" t="s">
        <v>29</v>
      </c>
      <c r="T43" s="113" t="s">
        <v>29</v>
      </c>
      <c r="U43" s="104" t="s">
        <v>29</v>
      </c>
      <c r="V43" s="104" t="s">
        <v>29</v>
      </c>
      <c r="W43" s="104" t="s">
        <v>29</v>
      </c>
      <c r="X43" s="104" t="s">
        <v>29</v>
      </c>
      <c r="Y43" s="111" t="s">
        <v>29</v>
      </c>
      <c r="Z43" s="104" t="s">
        <v>29</v>
      </c>
      <c r="AA43" s="113"/>
      <c r="AB43" s="113" t="s">
        <v>29</v>
      </c>
      <c r="AC43" s="111" t="s">
        <v>29</v>
      </c>
      <c r="AD43" s="104" t="s">
        <v>29</v>
      </c>
      <c r="AE43" s="94">
        <f>SUM(S43:Z43)</f>
        <v>0</v>
      </c>
      <c r="AF43" s="93">
        <v>0</v>
      </c>
      <c r="AG43" s="93"/>
      <c r="AH43" s="94"/>
      <c r="AI43" s="94"/>
      <c r="AJ43" s="94"/>
      <c r="AK43" s="94"/>
      <c r="AL43" s="94"/>
      <c r="AM43" s="94"/>
      <c r="AN43" s="95"/>
      <c r="AO43" s="95"/>
      <c r="AP43" s="69"/>
      <c r="AQ43" s="95"/>
      <c r="AR43" s="101"/>
      <c r="AS43" s="69"/>
      <c r="AT43" s="69"/>
      <c r="AU43" s="37"/>
      <c r="AV43" s="37"/>
      <c r="AW43" s="37"/>
      <c r="AX43" s="95"/>
      <c r="AY43" s="93"/>
      <c r="AZ43" s="105"/>
      <c r="BA43" s="105"/>
      <c r="BB43" s="105">
        <v>0</v>
      </c>
      <c r="BC43" s="105"/>
      <c r="BD43" s="105"/>
      <c r="BE43" s="105"/>
      <c r="BF43" s="191"/>
      <c r="BG43" s="191"/>
      <c r="BH43" s="191">
        <v>0</v>
      </c>
      <c r="BI43" s="191">
        <v>0</v>
      </c>
      <c r="BJ43" s="191">
        <v>0</v>
      </c>
      <c r="BK43" s="191">
        <v>0</v>
      </c>
      <c r="BL43" s="191">
        <v>0</v>
      </c>
      <c r="BM43" s="191">
        <v>0</v>
      </c>
      <c r="BN43" s="191">
        <v>0</v>
      </c>
      <c r="BO43" s="191">
        <v>0</v>
      </c>
      <c r="BP43" s="191">
        <v>0</v>
      </c>
      <c r="BQ43" s="191">
        <v>0</v>
      </c>
      <c r="BR43" s="191">
        <v>0</v>
      </c>
      <c r="BS43" s="191">
        <v>0</v>
      </c>
      <c r="BT43" s="191">
        <v>0</v>
      </c>
      <c r="BU43" s="191">
        <v>0</v>
      </c>
      <c r="BV43" s="191">
        <v>0</v>
      </c>
      <c r="BW43" s="191">
        <v>0</v>
      </c>
      <c r="BX43" s="191">
        <v>0</v>
      </c>
      <c r="BY43" s="191">
        <v>0</v>
      </c>
      <c r="BZ43" s="191">
        <v>0</v>
      </c>
      <c r="CA43" s="191">
        <v>0</v>
      </c>
      <c r="CB43" s="191">
        <f t="shared" ref="CB43:CV43" si="86">JV43</f>
        <v>0</v>
      </c>
      <c r="CC43" s="191">
        <f t="shared" si="86"/>
        <v>0</v>
      </c>
      <c r="CD43" s="191">
        <f t="shared" si="86"/>
        <v>0</v>
      </c>
      <c r="CE43" s="191">
        <f t="shared" si="86"/>
        <v>0</v>
      </c>
      <c r="CF43" s="191">
        <f t="shared" si="86"/>
        <v>0</v>
      </c>
      <c r="CG43" s="191">
        <f t="shared" si="86"/>
        <v>0</v>
      </c>
      <c r="CH43" s="191">
        <f t="shared" si="86"/>
        <v>0</v>
      </c>
      <c r="CI43" s="191">
        <f t="shared" si="86"/>
        <v>0</v>
      </c>
      <c r="CJ43" s="191">
        <f t="shared" si="86"/>
        <v>0</v>
      </c>
      <c r="CK43" s="191">
        <f t="shared" si="86"/>
        <v>0</v>
      </c>
      <c r="CL43" s="191">
        <f t="shared" si="86"/>
        <v>0</v>
      </c>
      <c r="CM43" s="191">
        <f t="shared" si="86"/>
        <v>0</v>
      </c>
      <c r="CN43" s="191">
        <f t="shared" si="86"/>
        <v>0</v>
      </c>
      <c r="CO43" s="191">
        <f t="shared" si="86"/>
        <v>0</v>
      </c>
      <c r="CP43" s="191">
        <f t="shared" si="86"/>
        <v>0</v>
      </c>
      <c r="CQ43" s="191">
        <f t="shared" si="86"/>
        <v>0</v>
      </c>
      <c r="CR43" s="191">
        <f t="shared" si="86"/>
        <v>0</v>
      </c>
      <c r="CS43" s="191">
        <f t="shared" si="86"/>
        <v>0</v>
      </c>
      <c r="CT43" s="191">
        <f t="shared" si="86"/>
        <v>0</v>
      </c>
      <c r="CU43" s="191">
        <f t="shared" si="86"/>
        <v>0</v>
      </c>
      <c r="CV43" s="191">
        <f t="shared" si="86"/>
        <v>0</v>
      </c>
      <c r="CW43" s="191">
        <f t="shared" ref="CW43:EA43" si="87">KQ43</f>
        <v>0</v>
      </c>
      <c r="CX43" s="191">
        <f t="shared" si="87"/>
        <v>0</v>
      </c>
      <c r="CY43" s="191">
        <f t="shared" si="87"/>
        <v>0</v>
      </c>
      <c r="CZ43" s="191">
        <f t="shared" si="87"/>
        <v>0</v>
      </c>
      <c r="DA43" s="191">
        <f t="shared" si="87"/>
        <v>0</v>
      </c>
      <c r="DB43" s="191">
        <f t="shared" si="87"/>
        <v>0</v>
      </c>
      <c r="DC43" s="191">
        <f t="shared" si="87"/>
        <v>0</v>
      </c>
      <c r="DD43" s="191">
        <f t="shared" si="87"/>
        <v>0</v>
      </c>
      <c r="DE43" s="191">
        <f t="shared" si="87"/>
        <v>0</v>
      </c>
      <c r="DF43" s="191">
        <f t="shared" si="87"/>
        <v>0</v>
      </c>
      <c r="DG43" s="191">
        <f t="shared" si="87"/>
        <v>0</v>
      </c>
      <c r="DH43" s="191">
        <f t="shared" si="87"/>
        <v>0</v>
      </c>
      <c r="DI43" s="191">
        <f t="shared" si="87"/>
        <v>0</v>
      </c>
      <c r="DJ43" s="191">
        <f t="shared" si="87"/>
        <v>0</v>
      </c>
      <c r="DK43" s="191">
        <f t="shared" si="87"/>
        <v>0</v>
      </c>
      <c r="DL43" s="191">
        <f t="shared" si="87"/>
        <v>0</v>
      </c>
      <c r="DM43" s="191">
        <f t="shared" si="87"/>
        <v>0</v>
      </c>
      <c r="DN43" s="191">
        <f t="shared" si="87"/>
        <v>0</v>
      </c>
      <c r="DO43" s="191">
        <f t="shared" si="87"/>
        <v>0</v>
      </c>
      <c r="DP43" s="191">
        <f t="shared" si="87"/>
        <v>0</v>
      </c>
      <c r="DQ43" s="191">
        <f t="shared" si="87"/>
        <v>0</v>
      </c>
      <c r="DR43" s="191">
        <f t="shared" si="87"/>
        <v>0</v>
      </c>
      <c r="DS43" s="191">
        <f t="shared" si="87"/>
        <v>0</v>
      </c>
      <c r="DT43" s="191">
        <f t="shared" si="87"/>
        <v>0</v>
      </c>
      <c r="DU43" s="191">
        <f t="shared" si="87"/>
        <v>0</v>
      </c>
      <c r="DV43" s="191">
        <f t="shared" si="87"/>
        <v>0</v>
      </c>
      <c r="DW43" s="191">
        <f t="shared" si="87"/>
        <v>0</v>
      </c>
      <c r="DX43" s="191">
        <f t="shared" si="87"/>
        <v>0</v>
      </c>
      <c r="DY43" s="191">
        <f t="shared" si="87"/>
        <v>0</v>
      </c>
      <c r="DZ43" s="191">
        <f t="shared" si="87"/>
        <v>0</v>
      </c>
      <c r="EA43" s="191">
        <f t="shared" si="87"/>
        <v>0</v>
      </c>
      <c r="EB43" s="191">
        <f t="shared" ref="EB43:GM43" si="88">LV43</f>
        <v>0</v>
      </c>
      <c r="EC43" s="191">
        <f t="shared" si="88"/>
        <v>0</v>
      </c>
      <c r="ED43" s="191">
        <f t="shared" si="88"/>
        <v>0</v>
      </c>
      <c r="EE43" s="191">
        <f t="shared" si="88"/>
        <v>0</v>
      </c>
      <c r="EF43" s="191">
        <f t="shared" si="88"/>
        <v>0</v>
      </c>
      <c r="EG43" s="191">
        <f t="shared" si="88"/>
        <v>0</v>
      </c>
      <c r="EH43" s="191">
        <f t="shared" si="88"/>
        <v>0</v>
      </c>
      <c r="EI43" s="191">
        <f t="shared" si="88"/>
        <v>0</v>
      </c>
      <c r="EJ43" s="191">
        <f t="shared" si="88"/>
        <v>0</v>
      </c>
      <c r="EK43" s="191">
        <f t="shared" si="88"/>
        <v>0</v>
      </c>
      <c r="EL43" s="191">
        <f t="shared" si="88"/>
        <v>0</v>
      </c>
      <c r="EM43" s="191">
        <f t="shared" si="88"/>
        <v>0</v>
      </c>
      <c r="EN43" s="191">
        <f t="shared" si="88"/>
        <v>0</v>
      </c>
      <c r="EO43" s="191">
        <f t="shared" si="88"/>
        <v>0</v>
      </c>
      <c r="EP43" s="191">
        <f t="shared" si="88"/>
        <v>0</v>
      </c>
      <c r="EQ43" s="191">
        <f t="shared" si="88"/>
        <v>0</v>
      </c>
      <c r="ER43" s="191">
        <f t="shared" si="88"/>
        <v>0</v>
      </c>
      <c r="ES43" s="191">
        <f t="shared" si="88"/>
        <v>0</v>
      </c>
      <c r="ET43" s="191">
        <f t="shared" si="88"/>
        <v>0</v>
      </c>
      <c r="EU43" s="191">
        <f t="shared" si="88"/>
        <v>0</v>
      </c>
      <c r="EV43" s="191">
        <f t="shared" si="88"/>
        <v>0</v>
      </c>
      <c r="EW43" s="191">
        <f t="shared" si="88"/>
        <v>0</v>
      </c>
      <c r="EX43" s="191">
        <f t="shared" si="88"/>
        <v>0</v>
      </c>
      <c r="EY43" s="191">
        <f t="shared" si="88"/>
        <v>0</v>
      </c>
      <c r="EZ43" s="191">
        <f t="shared" si="88"/>
        <v>0</v>
      </c>
      <c r="FA43" s="191">
        <f t="shared" si="88"/>
        <v>0</v>
      </c>
      <c r="FB43" s="191">
        <f t="shared" si="88"/>
        <v>0</v>
      </c>
      <c r="FC43" s="191">
        <f t="shared" si="88"/>
        <v>0</v>
      </c>
      <c r="FD43" s="191">
        <f t="shared" si="88"/>
        <v>0</v>
      </c>
      <c r="FE43" s="191">
        <f t="shared" si="88"/>
        <v>0</v>
      </c>
      <c r="FF43" s="191">
        <f t="shared" si="88"/>
        <v>0</v>
      </c>
      <c r="FG43" s="191">
        <f t="shared" si="88"/>
        <v>0</v>
      </c>
      <c r="FH43" s="191">
        <f t="shared" si="88"/>
        <v>0</v>
      </c>
      <c r="FI43" s="191">
        <f t="shared" si="88"/>
        <v>0</v>
      </c>
      <c r="FJ43" s="191">
        <f t="shared" si="88"/>
        <v>0</v>
      </c>
      <c r="FK43" s="191">
        <f t="shared" si="88"/>
        <v>0</v>
      </c>
      <c r="FL43" s="191">
        <f t="shared" si="88"/>
        <v>0</v>
      </c>
      <c r="FM43" s="191">
        <f t="shared" si="88"/>
        <v>0</v>
      </c>
      <c r="FN43" s="191">
        <f t="shared" si="88"/>
        <v>0</v>
      </c>
      <c r="FO43" s="191">
        <f t="shared" si="88"/>
        <v>0</v>
      </c>
      <c r="FP43" s="191">
        <f t="shared" si="88"/>
        <v>0</v>
      </c>
      <c r="FQ43" s="191">
        <f t="shared" si="88"/>
        <v>0</v>
      </c>
      <c r="FR43" s="191">
        <f t="shared" si="88"/>
        <v>0</v>
      </c>
      <c r="FS43" s="191">
        <f t="shared" si="88"/>
        <v>0</v>
      </c>
      <c r="FT43" s="191">
        <f t="shared" si="88"/>
        <v>0</v>
      </c>
      <c r="FU43" s="191">
        <f t="shared" si="88"/>
        <v>0</v>
      </c>
      <c r="FV43" s="191">
        <f t="shared" si="88"/>
        <v>0</v>
      </c>
      <c r="FW43" s="191">
        <f t="shared" si="88"/>
        <v>0</v>
      </c>
      <c r="FX43" s="191">
        <f t="shared" si="88"/>
        <v>0</v>
      </c>
      <c r="FY43" s="191">
        <f t="shared" si="88"/>
        <v>0</v>
      </c>
      <c r="FZ43" s="191">
        <f t="shared" si="88"/>
        <v>0</v>
      </c>
      <c r="GA43" s="191">
        <f t="shared" si="88"/>
        <v>0</v>
      </c>
      <c r="GB43" s="191">
        <f t="shared" si="88"/>
        <v>0</v>
      </c>
      <c r="GC43" s="191">
        <f t="shared" si="88"/>
        <v>0</v>
      </c>
      <c r="GD43" s="191">
        <f t="shared" si="88"/>
        <v>0</v>
      </c>
      <c r="GE43" s="191">
        <f t="shared" si="88"/>
        <v>0</v>
      </c>
      <c r="GF43" s="191">
        <f t="shared" si="88"/>
        <v>0</v>
      </c>
      <c r="GG43" s="191">
        <f t="shared" si="88"/>
        <v>0</v>
      </c>
      <c r="GH43" s="191">
        <f t="shared" si="88"/>
        <v>0</v>
      </c>
      <c r="GI43" s="191">
        <f t="shared" si="88"/>
        <v>0</v>
      </c>
      <c r="GJ43" s="191">
        <f t="shared" si="88"/>
        <v>0</v>
      </c>
      <c r="GK43" s="191">
        <f t="shared" si="88"/>
        <v>0</v>
      </c>
      <c r="GL43" s="191">
        <f t="shared" si="88"/>
        <v>0</v>
      </c>
      <c r="GM43" s="191">
        <f t="shared" si="88"/>
        <v>0</v>
      </c>
      <c r="GN43" s="191">
        <f t="shared" ref="GN43:HA43" si="89">OH43</f>
        <v>0</v>
      </c>
      <c r="GO43" s="191">
        <f t="shared" si="89"/>
        <v>0</v>
      </c>
      <c r="GP43" s="191">
        <f t="shared" si="89"/>
        <v>0</v>
      </c>
      <c r="GQ43" s="191">
        <f t="shared" si="89"/>
        <v>0</v>
      </c>
      <c r="GR43" s="191">
        <f t="shared" si="89"/>
        <v>0</v>
      </c>
      <c r="GS43" s="191">
        <f t="shared" si="89"/>
        <v>0</v>
      </c>
      <c r="GT43" s="191">
        <f t="shared" si="89"/>
        <v>0</v>
      </c>
      <c r="GU43" s="191">
        <f t="shared" si="89"/>
        <v>0</v>
      </c>
      <c r="GV43" s="191">
        <f t="shared" si="89"/>
        <v>0</v>
      </c>
      <c r="GW43" s="191">
        <f t="shared" si="89"/>
        <v>0</v>
      </c>
      <c r="GX43" s="191">
        <f t="shared" si="89"/>
        <v>0</v>
      </c>
      <c r="GY43" s="191">
        <f t="shared" si="89"/>
        <v>0</v>
      </c>
      <c r="GZ43" s="191">
        <f t="shared" si="89"/>
        <v>0</v>
      </c>
      <c r="HA43" s="191">
        <f t="shared" si="89"/>
        <v>0</v>
      </c>
      <c r="HB43" s="191">
        <f t="shared" ref="HB43" si="90">OW43</f>
        <v>0</v>
      </c>
      <c r="HC43" s="191">
        <f>OX43</f>
        <v>0</v>
      </c>
      <c r="HD43" s="191">
        <f t="shared" ref="HD43" si="91">OY43</f>
        <v>0</v>
      </c>
      <c r="HE43" s="191">
        <f t="shared" ref="HE43" si="92">OZ43</f>
        <v>0</v>
      </c>
      <c r="HF43" s="191">
        <f t="shared" ref="HF43" si="93">PA43</f>
        <v>0</v>
      </c>
      <c r="HG43" s="191">
        <f t="shared" ref="HG43" si="94">PB43</f>
        <v>0</v>
      </c>
      <c r="HH43" s="191">
        <f t="shared" ref="HH43" si="95">PC43</f>
        <v>0</v>
      </c>
      <c r="HI43" s="191">
        <f t="shared" ref="HI43" si="96">PD43</f>
        <v>0</v>
      </c>
      <c r="HJ43" s="191">
        <f t="shared" ref="HJ43" si="97">PE43</f>
        <v>0</v>
      </c>
      <c r="HK43" s="191">
        <f t="shared" ref="HK43" si="98">PF43</f>
        <v>0</v>
      </c>
      <c r="HL43" s="191">
        <f t="shared" ref="HL43" si="99">PG43</f>
        <v>0</v>
      </c>
      <c r="HM43" s="191">
        <f>PH43</f>
        <v>0</v>
      </c>
      <c r="HN43" s="191">
        <f>SUM(HB43:HM43)</f>
        <v>0</v>
      </c>
      <c r="HO43" s="191">
        <f>PJ43</f>
        <v>0</v>
      </c>
      <c r="HP43" s="191">
        <f>PI43</f>
        <v>0</v>
      </c>
      <c r="HQ43" s="191">
        <f>PJ43</f>
        <v>0</v>
      </c>
      <c r="HR43" s="191">
        <v>0</v>
      </c>
      <c r="HS43" s="191">
        <v>0</v>
      </c>
      <c r="HT43" s="191">
        <v>0</v>
      </c>
      <c r="HU43" s="410">
        <v>0</v>
      </c>
      <c r="HV43" s="191">
        <v>0</v>
      </c>
      <c r="HW43" s="191">
        <v>0</v>
      </c>
      <c r="HX43" s="191">
        <v>0</v>
      </c>
      <c r="HY43" s="191">
        <v>0</v>
      </c>
      <c r="HZ43" s="410">
        <v>0</v>
      </c>
      <c r="IA43" s="191">
        <v>0</v>
      </c>
      <c r="IB43" s="191">
        <v>0</v>
      </c>
      <c r="IC43" s="191">
        <v>0</v>
      </c>
      <c r="ID43" s="191">
        <v>0</v>
      </c>
      <c r="IE43" s="191">
        <v>0</v>
      </c>
      <c r="IF43" s="191">
        <v>0</v>
      </c>
      <c r="IG43" s="410">
        <v>0</v>
      </c>
      <c r="IH43" s="410">
        <v>0</v>
      </c>
      <c r="II43" s="410">
        <v>0</v>
      </c>
      <c r="IJ43" s="410">
        <v>0</v>
      </c>
      <c r="IK43" s="410">
        <v>0</v>
      </c>
      <c r="IL43" s="410">
        <v>0</v>
      </c>
      <c r="IM43" s="410">
        <v>0</v>
      </c>
      <c r="IN43" s="410">
        <v>0</v>
      </c>
      <c r="IO43" s="410">
        <v>0</v>
      </c>
      <c r="IP43" s="410">
        <v>0</v>
      </c>
      <c r="IQ43" s="410">
        <v>0</v>
      </c>
      <c r="IR43" s="410">
        <v>0</v>
      </c>
      <c r="IS43" s="410">
        <v>0</v>
      </c>
      <c r="IT43" s="410">
        <v>0</v>
      </c>
      <c r="IU43" s="410">
        <v>0</v>
      </c>
      <c r="IV43" s="410">
        <v>0</v>
      </c>
      <c r="IW43" s="410">
        <v>0</v>
      </c>
      <c r="IX43" s="410">
        <v>0</v>
      </c>
      <c r="IY43" s="410">
        <v>0</v>
      </c>
      <c r="IZ43" s="410">
        <v>0</v>
      </c>
      <c r="JA43" s="410"/>
      <c r="JB43" s="410"/>
      <c r="JC43" s="410"/>
      <c r="JD43" s="410"/>
      <c r="JE43" s="410"/>
      <c r="JF43" s="410"/>
      <c r="JG43" s="410"/>
      <c r="JH43" s="410"/>
      <c r="JI43" s="410"/>
      <c r="JJ43" s="410"/>
      <c r="JK43" s="410">
        <f>+IM43+IN43</f>
        <v>0</v>
      </c>
      <c r="JL43" s="410">
        <f>+IY43+IZ43</f>
        <v>0</v>
      </c>
      <c r="JM43" s="10"/>
      <c r="JN43" s="10"/>
      <c r="JO43" s="10"/>
      <c r="JP43" s="10"/>
      <c r="JQ43" s="10"/>
      <c r="JR43" s="10"/>
      <c r="JS43" s="10"/>
      <c r="JT43" s="9"/>
      <c r="JU43" s="11"/>
    </row>
    <row r="44" spans="1:281" x14ac:dyDescent="0.25">
      <c r="A44" s="91" t="s">
        <v>51</v>
      </c>
      <c r="B44" s="34"/>
      <c r="C44" s="34"/>
      <c r="D44" s="34"/>
      <c r="E44" s="79">
        <v>187</v>
      </c>
      <c r="F44" s="79">
        <v>363</v>
      </c>
      <c r="G44" s="79">
        <v>519</v>
      </c>
      <c r="H44" s="79">
        <v>712</v>
      </c>
      <c r="I44" s="79">
        <v>767</v>
      </c>
      <c r="J44" s="79">
        <v>573</v>
      </c>
      <c r="K44" s="79">
        <v>517</v>
      </c>
      <c r="L44" s="79">
        <v>618</v>
      </c>
      <c r="M44" s="79">
        <v>989</v>
      </c>
      <c r="N44" s="92">
        <v>537</v>
      </c>
      <c r="O44" s="93">
        <v>429</v>
      </c>
      <c r="P44" s="92">
        <v>2333</v>
      </c>
      <c r="Q44" s="93">
        <v>673</v>
      </c>
      <c r="R44" s="93">
        <v>1298.2149999999999</v>
      </c>
      <c r="S44" s="92">
        <v>161</v>
      </c>
      <c r="T44" s="92">
        <v>18</v>
      </c>
      <c r="U44" s="69">
        <v>43</v>
      </c>
      <c r="V44" s="69">
        <v>41</v>
      </c>
      <c r="W44" s="93">
        <v>128</v>
      </c>
      <c r="X44" s="93">
        <v>63</v>
      </c>
      <c r="Y44" s="94">
        <v>41</v>
      </c>
      <c r="Z44" s="93">
        <v>178</v>
      </c>
      <c r="AA44" s="93">
        <v>186</v>
      </c>
      <c r="AB44" s="93">
        <v>202</v>
      </c>
      <c r="AC44" s="94">
        <v>30</v>
      </c>
      <c r="AD44" s="93">
        <v>207.215</v>
      </c>
      <c r="AE44" s="94">
        <f>SUM(S44:AD44)</f>
        <v>1298.2149999999999</v>
      </c>
      <c r="AF44" s="93">
        <v>1877.2550000000001</v>
      </c>
      <c r="AG44" s="93">
        <v>611</v>
      </c>
      <c r="AH44" s="105" t="s">
        <v>29</v>
      </c>
      <c r="AI44" s="101" t="s">
        <v>29</v>
      </c>
      <c r="AJ44" s="101" t="s">
        <v>29</v>
      </c>
      <c r="AK44" s="101">
        <v>110</v>
      </c>
      <c r="AL44" s="99" t="s">
        <v>29</v>
      </c>
      <c r="AM44" s="191">
        <v>0</v>
      </c>
      <c r="AN44" s="99" t="s">
        <v>29</v>
      </c>
      <c r="AO44" s="99" t="s">
        <v>29</v>
      </c>
      <c r="AP44" s="99" t="s">
        <v>29</v>
      </c>
      <c r="AQ44" s="99" t="s">
        <v>29</v>
      </c>
      <c r="AR44" s="99" t="s">
        <v>29</v>
      </c>
      <c r="AS44" s="99" t="s">
        <v>29</v>
      </c>
      <c r="AT44" s="99" t="s">
        <v>29</v>
      </c>
      <c r="AU44" s="99" t="s">
        <v>29</v>
      </c>
      <c r="AV44" s="99" t="s">
        <v>29</v>
      </c>
      <c r="AW44" s="99" t="s">
        <v>29</v>
      </c>
      <c r="AX44" s="99" t="s">
        <v>29</v>
      </c>
      <c r="AY44" s="99" t="s">
        <v>29</v>
      </c>
      <c r="AZ44" s="99" t="s">
        <v>29</v>
      </c>
      <c r="BA44" s="191">
        <v>0</v>
      </c>
      <c r="BB44" s="101">
        <v>197.51</v>
      </c>
      <c r="BC44" s="191">
        <v>0</v>
      </c>
      <c r="BD44" s="191">
        <v>0</v>
      </c>
      <c r="BE44" s="191">
        <v>0</v>
      </c>
      <c r="BF44" s="191">
        <v>0</v>
      </c>
      <c r="BG44" s="191">
        <v>0</v>
      </c>
      <c r="BH44" s="191">
        <v>0</v>
      </c>
      <c r="BI44" s="191">
        <v>0</v>
      </c>
      <c r="BJ44" s="191">
        <v>0</v>
      </c>
      <c r="BK44" s="191">
        <v>0</v>
      </c>
      <c r="BL44" s="191">
        <v>0</v>
      </c>
      <c r="BM44" s="191">
        <v>0</v>
      </c>
      <c r="BN44" s="191">
        <v>0</v>
      </c>
      <c r="BO44" s="191">
        <v>0</v>
      </c>
      <c r="BP44" s="191">
        <v>0</v>
      </c>
      <c r="BQ44" s="191">
        <v>0</v>
      </c>
      <c r="BR44" s="191">
        <v>0</v>
      </c>
      <c r="BS44" s="191">
        <v>0</v>
      </c>
      <c r="BT44" s="191">
        <v>0</v>
      </c>
      <c r="BU44" s="191">
        <v>0</v>
      </c>
      <c r="BV44" s="191">
        <v>0</v>
      </c>
      <c r="BW44" s="191">
        <v>0</v>
      </c>
      <c r="BX44" s="191">
        <v>0</v>
      </c>
      <c r="BY44" s="191">
        <v>0</v>
      </c>
      <c r="BZ44" s="191">
        <v>0</v>
      </c>
      <c r="CA44" s="191">
        <v>0</v>
      </c>
      <c r="CB44" s="191" t="s">
        <v>29</v>
      </c>
      <c r="CC44" s="191">
        <v>197.51</v>
      </c>
      <c r="CD44" s="191" t="s">
        <v>29</v>
      </c>
      <c r="CE44" s="191" t="s">
        <v>29</v>
      </c>
      <c r="CF44" s="191" t="s">
        <v>29</v>
      </c>
      <c r="CG44" s="191" t="s">
        <v>29</v>
      </c>
      <c r="CH44" s="191" t="s">
        <v>29</v>
      </c>
      <c r="CI44" s="191" t="s">
        <v>29</v>
      </c>
      <c r="CJ44" s="191" t="s">
        <v>29</v>
      </c>
      <c r="CK44" s="191" t="s">
        <v>29</v>
      </c>
      <c r="CL44" s="191" t="s">
        <v>29</v>
      </c>
      <c r="CM44" s="191" t="s">
        <v>29</v>
      </c>
      <c r="CN44" s="191" t="s">
        <v>29</v>
      </c>
      <c r="CO44" s="191">
        <f>SUM(CC44:CN44)</f>
        <v>197.51</v>
      </c>
      <c r="CP44" s="191">
        <v>0</v>
      </c>
      <c r="CQ44" s="191">
        <v>0</v>
      </c>
      <c r="CR44" s="191" t="s">
        <v>29</v>
      </c>
      <c r="CS44" s="191">
        <v>0</v>
      </c>
      <c r="CT44" s="191">
        <v>0</v>
      </c>
      <c r="CU44" s="191">
        <v>0</v>
      </c>
      <c r="CV44" s="191">
        <v>0</v>
      </c>
      <c r="CW44" s="191" t="s">
        <v>29</v>
      </c>
      <c r="CX44" s="191" t="s">
        <v>29</v>
      </c>
      <c r="CY44" s="191" t="s">
        <v>29</v>
      </c>
      <c r="CZ44" s="191" t="s">
        <v>29</v>
      </c>
      <c r="DA44" s="191" t="s">
        <v>29</v>
      </c>
      <c r="DB44" s="191" t="s">
        <v>29</v>
      </c>
      <c r="DC44" s="191" t="s">
        <v>29</v>
      </c>
      <c r="DD44" s="191" t="s">
        <v>29</v>
      </c>
      <c r="DE44" s="191" t="s">
        <v>29</v>
      </c>
      <c r="DF44" s="191" t="s">
        <v>29</v>
      </c>
      <c r="DG44" s="191" t="s">
        <v>29</v>
      </c>
      <c r="DH44" s="191" t="s">
        <v>29</v>
      </c>
      <c r="DI44" s="191" t="s">
        <v>29</v>
      </c>
      <c r="DJ44" s="191" t="s">
        <v>29</v>
      </c>
      <c r="DK44" s="191" t="s">
        <v>29</v>
      </c>
      <c r="DL44" s="191" t="s">
        <v>29</v>
      </c>
      <c r="DM44" s="191" t="s">
        <v>29</v>
      </c>
      <c r="DN44" s="191" t="s">
        <v>29</v>
      </c>
      <c r="DO44" s="191" t="s">
        <v>29</v>
      </c>
      <c r="DP44" s="191" t="s">
        <v>29</v>
      </c>
      <c r="DQ44" s="191">
        <v>0</v>
      </c>
      <c r="DR44" s="191">
        <v>0</v>
      </c>
      <c r="DS44" s="191">
        <v>0</v>
      </c>
      <c r="DT44" s="191" t="s">
        <v>29</v>
      </c>
      <c r="DU44" s="191" t="s">
        <v>29</v>
      </c>
      <c r="DV44" s="191">
        <v>0</v>
      </c>
      <c r="DW44" s="191" t="s">
        <v>29</v>
      </c>
      <c r="DX44" s="191" t="s">
        <v>29</v>
      </c>
      <c r="DY44" s="191">
        <v>0</v>
      </c>
      <c r="DZ44" s="191"/>
      <c r="EA44" s="191"/>
      <c r="EB44" s="191">
        <v>0</v>
      </c>
      <c r="EC44" s="191">
        <v>0</v>
      </c>
      <c r="ED44" s="191">
        <v>0</v>
      </c>
      <c r="EE44" s="191">
        <v>0</v>
      </c>
      <c r="EF44" s="191">
        <v>0</v>
      </c>
      <c r="EG44" s="191">
        <v>0</v>
      </c>
      <c r="EH44" s="191">
        <v>0</v>
      </c>
      <c r="EI44" s="191">
        <v>0</v>
      </c>
      <c r="EJ44" s="191" t="s">
        <v>29</v>
      </c>
      <c r="EK44" s="191">
        <v>0</v>
      </c>
      <c r="EL44" s="191">
        <v>0</v>
      </c>
      <c r="EM44" s="191">
        <v>0</v>
      </c>
      <c r="EN44" s="191">
        <v>0</v>
      </c>
      <c r="EO44" s="191">
        <v>0</v>
      </c>
      <c r="EP44" s="191">
        <v>0</v>
      </c>
      <c r="EQ44" s="191">
        <v>0</v>
      </c>
      <c r="ER44" s="191">
        <v>0</v>
      </c>
      <c r="ES44" s="191">
        <v>0</v>
      </c>
      <c r="ET44" s="191">
        <v>0</v>
      </c>
      <c r="EU44" s="191">
        <v>0</v>
      </c>
      <c r="EV44" s="191">
        <v>0</v>
      </c>
      <c r="EW44" s="191">
        <v>0</v>
      </c>
      <c r="EX44" s="191">
        <v>0</v>
      </c>
      <c r="EY44" s="191">
        <v>0</v>
      </c>
      <c r="EZ44" s="191">
        <v>0</v>
      </c>
      <c r="FA44" s="191">
        <v>0</v>
      </c>
      <c r="FB44" s="191">
        <v>0</v>
      </c>
      <c r="FC44" s="191">
        <v>0</v>
      </c>
      <c r="FD44" s="191">
        <v>0</v>
      </c>
      <c r="FE44" s="191">
        <v>0</v>
      </c>
      <c r="FF44" s="191">
        <v>0</v>
      </c>
      <c r="FG44" s="191">
        <v>0</v>
      </c>
      <c r="FH44" s="191">
        <v>0</v>
      </c>
      <c r="FI44" s="191">
        <v>0</v>
      </c>
      <c r="FJ44" s="191">
        <v>0</v>
      </c>
      <c r="FK44" s="191">
        <v>0</v>
      </c>
      <c r="FL44" s="191">
        <v>0</v>
      </c>
      <c r="FM44" s="191">
        <v>0</v>
      </c>
      <c r="FN44" s="191">
        <v>0</v>
      </c>
      <c r="FO44" s="191">
        <v>0</v>
      </c>
      <c r="FP44" s="191">
        <v>0</v>
      </c>
      <c r="FQ44" s="191">
        <v>0</v>
      </c>
      <c r="FR44" s="191">
        <v>0</v>
      </c>
      <c r="FS44" s="191">
        <v>0</v>
      </c>
      <c r="FT44" s="191">
        <v>0</v>
      </c>
      <c r="FU44" s="191">
        <v>0</v>
      </c>
      <c r="FV44" s="191">
        <v>0</v>
      </c>
      <c r="FW44" s="191">
        <v>0</v>
      </c>
      <c r="FX44" s="191">
        <v>0</v>
      </c>
      <c r="FY44" s="191">
        <v>0</v>
      </c>
      <c r="FZ44" s="191">
        <v>0</v>
      </c>
      <c r="GA44" s="191">
        <v>0</v>
      </c>
      <c r="GB44" s="191">
        <f>SUM(FP44:GA44)</f>
        <v>0</v>
      </c>
      <c r="GC44" s="191">
        <v>0</v>
      </c>
      <c r="GD44" s="191">
        <v>0</v>
      </c>
      <c r="GE44" s="191">
        <v>0</v>
      </c>
      <c r="GF44" s="191">
        <v>0</v>
      </c>
      <c r="GG44" s="191">
        <v>0</v>
      </c>
      <c r="GH44" s="191">
        <v>0</v>
      </c>
      <c r="GI44" s="191">
        <v>0</v>
      </c>
      <c r="GJ44" s="191">
        <v>0</v>
      </c>
      <c r="GK44" s="191">
        <v>0</v>
      </c>
      <c r="GL44" s="191">
        <v>0</v>
      </c>
      <c r="GM44" s="191">
        <v>0</v>
      </c>
      <c r="GN44" s="191">
        <v>0</v>
      </c>
      <c r="GO44" s="191">
        <f>SUM(GC44:GN44)</f>
        <v>0</v>
      </c>
      <c r="GP44" s="191">
        <v>0</v>
      </c>
      <c r="GQ44" s="191">
        <v>0</v>
      </c>
      <c r="GR44" s="191">
        <v>0</v>
      </c>
      <c r="GS44" s="191">
        <v>0</v>
      </c>
      <c r="GT44" s="191">
        <v>0</v>
      </c>
      <c r="GU44" s="191">
        <v>0</v>
      </c>
      <c r="GV44" s="191">
        <v>0</v>
      </c>
      <c r="GW44" s="191">
        <v>0</v>
      </c>
      <c r="GX44" s="191" t="s">
        <v>29</v>
      </c>
      <c r="GY44" s="191">
        <v>0</v>
      </c>
      <c r="GZ44" s="191">
        <v>0</v>
      </c>
      <c r="HA44" s="191">
        <v>0</v>
      </c>
      <c r="HB44" s="191">
        <v>0</v>
      </c>
      <c r="HC44" s="191">
        <v>0</v>
      </c>
      <c r="HD44" s="191">
        <v>0</v>
      </c>
      <c r="HE44" s="191">
        <v>0</v>
      </c>
      <c r="HF44" s="191">
        <v>0</v>
      </c>
      <c r="HG44" s="191">
        <v>0</v>
      </c>
      <c r="HH44" s="191">
        <v>0</v>
      </c>
      <c r="HI44" s="191">
        <v>0</v>
      </c>
      <c r="HJ44" s="191">
        <v>0</v>
      </c>
      <c r="HK44" s="191">
        <v>0</v>
      </c>
      <c r="HL44" s="191">
        <v>0</v>
      </c>
      <c r="HM44" s="191">
        <v>0</v>
      </c>
      <c r="HN44" s="191">
        <f>SUM(HB44:HM44)</f>
        <v>0</v>
      </c>
      <c r="HO44" s="191">
        <v>0</v>
      </c>
      <c r="HP44" s="191">
        <v>0</v>
      </c>
      <c r="HQ44" s="191">
        <v>0</v>
      </c>
      <c r="HR44" s="191">
        <v>0</v>
      </c>
      <c r="HS44" s="191">
        <v>0</v>
      </c>
      <c r="HT44" s="191">
        <v>0</v>
      </c>
      <c r="HU44" s="410">
        <v>0</v>
      </c>
      <c r="HV44" s="191">
        <v>0</v>
      </c>
      <c r="HW44" s="191">
        <v>0</v>
      </c>
      <c r="HX44" s="191">
        <v>0</v>
      </c>
      <c r="HY44" s="191">
        <v>0</v>
      </c>
      <c r="HZ44" s="410">
        <v>0</v>
      </c>
      <c r="IA44" s="191">
        <v>0</v>
      </c>
      <c r="IB44" s="191">
        <v>0</v>
      </c>
      <c r="IC44" s="191">
        <v>0</v>
      </c>
      <c r="ID44" s="191">
        <v>0</v>
      </c>
      <c r="IE44" s="191">
        <v>0</v>
      </c>
      <c r="IF44" s="191">
        <v>0</v>
      </c>
      <c r="IG44" s="410">
        <v>0</v>
      </c>
      <c r="IH44" s="410">
        <v>0</v>
      </c>
      <c r="II44" s="410">
        <v>0</v>
      </c>
      <c r="IJ44" s="410">
        <v>0</v>
      </c>
      <c r="IK44" s="410">
        <v>0</v>
      </c>
      <c r="IL44" s="410">
        <v>0</v>
      </c>
      <c r="IM44" s="410">
        <v>0</v>
      </c>
      <c r="IN44" s="410">
        <v>0</v>
      </c>
      <c r="IO44" s="410">
        <v>0</v>
      </c>
      <c r="IP44" s="410">
        <v>0</v>
      </c>
      <c r="IQ44" s="410">
        <v>0</v>
      </c>
      <c r="IR44" s="410">
        <v>0</v>
      </c>
      <c r="IS44" s="410">
        <v>0</v>
      </c>
      <c r="IT44" s="410">
        <v>0</v>
      </c>
      <c r="IU44" s="410">
        <v>0</v>
      </c>
      <c r="IV44" s="410">
        <v>0</v>
      </c>
      <c r="IW44" s="410">
        <v>0</v>
      </c>
      <c r="IX44" s="410">
        <v>0</v>
      </c>
      <c r="IY44" s="410">
        <v>0</v>
      </c>
      <c r="IZ44" s="410">
        <v>0</v>
      </c>
      <c r="JA44" s="410"/>
      <c r="JB44" s="410"/>
      <c r="JC44" s="410"/>
      <c r="JD44" s="410"/>
      <c r="JE44" s="410"/>
      <c r="JF44" s="410"/>
      <c r="JG44" s="410"/>
      <c r="JH44" s="410"/>
      <c r="JI44" s="410"/>
      <c r="JJ44" s="410"/>
      <c r="JK44" s="410">
        <f t="shared" ref="JK44:JK45" si="100">+IM44+IN44</f>
        <v>0</v>
      </c>
      <c r="JL44" s="410">
        <f t="shared" ref="JL44:JL45" si="101">+IY44+IZ44</f>
        <v>0</v>
      </c>
      <c r="JM44" s="10"/>
      <c r="JN44" s="10"/>
      <c r="JO44" s="10"/>
      <c r="JP44" s="10"/>
      <c r="JQ44" s="10"/>
      <c r="JR44" s="10"/>
      <c r="JS44" s="10"/>
      <c r="JT44" s="9"/>
      <c r="JU44" s="11"/>
    </row>
    <row r="45" spans="1:281" x14ac:dyDescent="0.25">
      <c r="A45" s="118" t="s">
        <v>52</v>
      </c>
      <c r="B45" s="34"/>
      <c r="C45" s="34"/>
      <c r="D45" s="34"/>
      <c r="E45" s="79">
        <v>11210</v>
      </c>
      <c r="F45" s="79">
        <v>11396</v>
      </c>
      <c r="G45" s="79">
        <v>8814</v>
      </c>
      <c r="H45" s="79">
        <v>14344</v>
      </c>
      <c r="I45" s="79">
        <v>11745</v>
      </c>
      <c r="J45" s="79">
        <v>10718</v>
      </c>
      <c r="K45" s="79">
        <v>9366</v>
      </c>
      <c r="L45" s="79">
        <v>7815</v>
      </c>
      <c r="M45" s="79">
        <v>3762</v>
      </c>
      <c r="N45" s="92">
        <v>2242</v>
      </c>
      <c r="O45" s="93">
        <v>2401</v>
      </c>
      <c r="P45" s="92">
        <v>6964</v>
      </c>
      <c r="Q45" s="93">
        <v>6800</v>
      </c>
      <c r="R45" s="93">
        <v>8836.5930000000008</v>
      </c>
      <c r="S45" s="92">
        <v>919</v>
      </c>
      <c r="T45" s="92">
        <f>413+94</f>
        <v>507</v>
      </c>
      <c r="U45" s="69">
        <v>632</v>
      </c>
      <c r="V45" s="69">
        <f>249+385</f>
        <v>634</v>
      </c>
      <c r="W45" s="93">
        <v>837</v>
      </c>
      <c r="X45" s="93">
        <f>1076+43</f>
        <v>1119</v>
      </c>
      <c r="Y45" s="94">
        <f>1193+38</f>
        <v>1231</v>
      </c>
      <c r="Z45" s="93">
        <f>689+76</f>
        <v>765</v>
      </c>
      <c r="AA45" s="93">
        <v>368</v>
      </c>
      <c r="AB45" s="93">
        <v>687</v>
      </c>
      <c r="AC45" s="94">
        <f>436+10</f>
        <v>446</v>
      </c>
      <c r="AD45" s="93">
        <f>614.365+77.228</f>
        <v>691.59299999999996</v>
      </c>
      <c r="AE45" s="94">
        <f>SUM(S45:AD45)</f>
        <v>8836.5930000000008</v>
      </c>
      <c r="AF45" s="93">
        <v>6986.7750000000005</v>
      </c>
      <c r="AG45" s="93">
        <v>11999</v>
      </c>
      <c r="AH45" s="94">
        <v>13649</v>
      </c>
      <c r="AI45" s="94">
        <v>10842</v>
      </c>
      <c r="AJ45" s="94">
        <v>17646</v>
      </c>
      <c r="AK45" s="94">
        <v>17068</v>
      </c>
      <c r="AL45" s="94">
        <v>20807.576999999997</v>
      </c>
      <c r="AM45" s="94">
        <v>18481.177</v>
      </c>
      <c r="AN45" s="101">
        <v>2000.425</v>
      </c>
      <c r="AO45" s="69">
        <v>1330.307</v>
      </c>
      <c r="AP45" s="69">
        <v>1340.018</v>
      </c>
      <c r="AQ45" s="69">
        <v>1836.2950000000001</v>
      </c>
      <c r="AR45" s="101">
        <v>571.93799999999999</v>
      </c>
      <c r="AS45" s="69">
        <v>1505.654</v>
      </c>
      <c r="AT45" s="69">
        <v>2173.058</v>
      </c>
      <c r="AU45" s="69">
        <v>1538.9739999999999</v>
      </c>
      <c r="AV45" s="69">
        <v>1389.23</v>
      </c>
      <c r="AW45" s="69">
        <v>892.04</v>
      </c>
      <c r="AX45" s="69">
        <v>1702.7270000000001</v>
      </c>
      <c r="AY45" s="101">
        <v>2200.511</v>
      </c>
      <c r="AZ45" s="69">
        <f>SUM(AN45:AY45)</f>
        <v>18481.177</v>
      </c>
      <c r="BA45" s="69">
        <v>29958.833000000002</v>
      </c>
      <c r="BB45" s="69">
        <v>27271.769</v>
      </c>
      <c r="BC45" s="69">
        <v>19030.365000000002</v>
      </c>
      <c r="BD45" s="69">
        <v>11371.037</v>
      </c>
      <c r="BE45" s="69">
        <v>7999.1759999999986</v>
      </c>
      <c r="BF45" s="191">
        <v>10140.430999999999</v>
      </c>
      <c r="BG45" s="191">
        <v>2737.26</v>
      </c>
      <c r="BH45" s="191">
        <v>1163.846</v>
      </c>
      <c r="BI45" s="191">
        <v>5889.0360000000001</v>
      </c>
      <c r="BJ45" s="191">
        <v>7037.6409999999996</v>
      </c>
      <c r="BK45" s="191">
        <v>2480.692</v>
      </c>
      <c r="BL45" s="191">
        <v>11818.957</v>
      </c>
      <c r="BM45" s="191">
        <v>6285.1550000000007</v>
      </c>
      <c r="BN45" s="191">
        <v>433.96800000000002</v>
      </c>
      <c r="BO45" s="191">
        <v>231.43300000000002</v>
      </c>
      <c r="BP45" s="191">
        <v>29.524999999999999</v>
      </c>
      <c r="BQ45" s="191">
        <v>39.200000000000003</v>
      </c>
      <c r="BR45" s="191">
        <v>60.17</v>
      </c>
      <c r="BS45" s="191">
        <v>14.86</v>
      </c>
      <c r="BT45" s="191">
        <v>113.95</v>
      </c>
      <c r="BU45" s="191">
        <v>0</v>
      </c>
      <c r="BV45" s="191">
        <v>14.4</v>
      </c>
      <c r="BW45" s="191">
        <v>16.45</v>
      </c>
      <c r="BX45" s="191">
        <v>93.4</v>
      </c>
      <c r="BY45" s="191">
        <v>37.1</v>
      </c>
      <c r="BZ45" s="191">
        <v>10.493</v>
      </c>
      <c r="CA45" s="191">
        <v>433.96800000000002</v>
      </c>
      <c r="CB45" s="191">
        <f>SUM(BP45:CA45)</f>
        <v>863.51599999999996</v>
      </c>
      <c r="CC45" s="191">
        <v>1973.4</v>
      </c>
      <c r="CD45" s="191">
        <v>1773.502</v>
      </c>
      <c r="CE45" s="191">
        <v>2034.76</v>
      </c>
      <c r="CF45" s="191">
        <v>1900.02</v>
      </c>
      <c r="CG45" s="191">
        <v>388.625</v>
      </c>
      <c r="CH45" s="191">
        <v>991.22</v>
      </c>
      <c r="CI45" s="191">
        <v>1044.5360000000001</v>
      </c>
      <c r="CJ45" s="191">
        <v>1064.3779999999999</v>
      </c>
      <c r="CK45" s="191">
        <v>3825.66</v>
      </c>
      <c r="CL45" s="191">
        <v>3192.2020000000002</v>
      </c>
      <c r="CM45" s="191">
        <v>4118.45</v>
      </c>
      <c r="CN45" s="191">
        <v>4965.0159999999996</v>
      </c>
      <c r="CO45" s="191">
        <f>SUM(CC45:CN45)</f>
        <v>27271.769</v>
      </c>
      <c r="CP45" s="191">
        <v>3556.511</v>
      </c>
      <c r="CQ45" s="191">
        <v>2752.002</v>
      </c>
      <c r="CR45" s="191">
        <v>2139.6979999999999</v>
      </c>
      <c r="CS45" s="191">
        <v>1582.721</v>
      </c>
      <c r="CT45" s="191">
        <v>1168.626</v>
      </c>
      <c r="CU45" s="191">
        <v>876.95299999999997</v>
      </c>
      <c r="CV45" s="191">
        <v>922.23599999999999</v>
      </c>
      <c r="CW45" s="191">
        <v>1258.473</v>
      </c>
      <c r="CX45" s="191">
        <v>1324.2149999999999</v>
      </c>
      <c r="CY45" s="191">
        <v>1507.299</v>
      </c>
      <c r="CZ45" s="191">
        <v>982.36400000000003</v>
      </c>
      <c r="DA45" s="191">
        <v>959.26700000000005</v>
      </c>
      <c r="DB45" s="191">
        <f>SUM(CP45:DA45)</f>
        <v>19030.365000000002</v>
      </c>
      <c r="DC45" s="191">
        <v>1448.605</v>
      </c>
      <c r="DD45" s="191">
        <v>389.74599999999998</v>
      </c>
      <c r="DE45" s="191">
        <v>974.85</v>
      </c>
      <c r="DF45" s="191">
        <v>756.99300000000005</v>
      </c>
      <c r="DG45" s="191">
        <v>935.45</v>
      </c>
      <c r="DH45" s="191">
        <v>1141.1600000000001</v>
      </c>
      <c r="DI45" s="191">
        <v>855.67200000000003</v>
      </c>
      <c r="DJ45" s="191">
        <v>617.50300000000004</v>
      </c>
      <c r="DK45" s="191">
        <v>504.52</v>
      </c>
      <c r="DL45" s="191">
        <v>1947.95</v>
      </c>
      <c r="DM45" s="191">
        <v>1065.5</v>
      </c>
      <c r="DN45" s="191">
        <v>733.08799999999997</v>
      </c>
      <c r="DO45" s="191">
        <f>SUM(DC45:DN45)</f>
        <v>11371.037</v>
      </c>
      <c r="DP45" s="191">
        <v>1020.83</v>
      </c>
      <c r="DQ45" s="191">
        <v>936.43799999999999</v>
      </c>
      <c r="DR45" s="191">
        <v>297.68200000000002</v>
      </c>
      <c r="DS45" s="191">
        <v>976.91700000000003</v>
      </c>
      <c r="DT45" s="191">
        <v>72.400000000000006</v>
      </c>
      <c r="DU45" s="191">
        <v>459.73</v>
      </c>
      <c r="DV45" s="191">
        <v>453.68799999999999</v>
      </c>
      <c r="DW45" s="191">
        <v>843.85199999999998</v>
      </c>
      <c r="DX45" s="191">
        <v>335.34</v>
      </c>
      <c r="DY45" s="191">
        <v>1138.3510000000001</v>
      </c>
      <c r="DZ45" s="191">
        <f>19.45+978.58+0.37</f>
        <v>998.40000000000009</v>
      </c>
      <c r="EA45" s="191">
        <v>465.548</v>
      </c>
      <c r="EB45" s="191">
        <f>SUM(DP45:EA45)</f>
        <v>7999.1759999999986</v>
      </c>
      <c r="EC45" s="191">
        <v>1782.867</v>
      </c>
      <c r="ED45" s="191">
        <v>747.16200000000003</v>
      </c>
      <c r="EE45" s="191">
        <v>1392.2860000000001</v>
      </c>
      <c r="EF45" s="191">
        <v>361.81</v>
      </c>
      <c r="EG45" s="191">
        <v>786.45399999999995</v>
      </c>
      <c r="EH45" s="191">
        <v>514.24400000000003</v>
      </c>
      <c r="EI45" s="191">
        <v>1373.673</v>
      </c>
      <c r="EJ45" s="191">
        <v>617.64200000000005</v>
      </c>
      <c r="EK45" s="191">
        <v>673.25800000000004</v>
      </c>
      <c r="EL45" s="191">
        <v>963.08500000000004</v>
      </c>
      <c r="EM45" s="191">
        <v>446.29899999999998</v>
      </c>
      <c r="EN45" s="191">
        <v>481.65100000000001</v>
      </c>
      <c r="EO45" s="191">
        <f>SUM(EC45:EN45)</f>
        <v>10140.430999999999</v>
      </c>
      <c r="EP45" s="191">
        <v>675.06100000000004</v>
      </c>
      <c r="EQ45" s="191">
        <v>584.51400000000001</v>
      </c>
      <c r="ER45" s="191">
        <v>190.86500000000001</v>
      </c>
      <c r="ES45" s="191">
        <v>74.125</v>
      </c>
      <c r="ET45" s="191">
        <v>144.31</v>
      </c>
      <c r="EU45" s="191">
        <v>228.54</v>
      </c>
      <c r="EV45" s="191">
        <v>251.41800000000001</v>
      </c>
      <c r="EW45" s="191">
        <v>162.065</v>
      </c>
      <c r="EX45" s="191">
        <v>61.03</v>
      </c>
      <c r="EY45" s="191">
        <v>78.108999999999995</v>
      </c>
      <c r="EZ45" s="191">
        <v>201.34299999999999</v>
      </c>
      <c r="FA45" s="191">
        <v>85.88</v>
      </c>
      <c r="FB45" s="191">
        <f>SUM(EP45:FA45)</f>
        <v>2737.26</v>
      </c>
      <c r="FC45" s="191">
        <v>117.77500000000001</v>
      </c>
      <c r="FD45" s="191">
        <v>106.64100000000001</v>
      </c>
      <c r="FE45" s="191">
        <v>51.281999999999996</v>
      </c>
      <c r="FF45" s="191">
        <v>26.55</v>
      </c>
      <c r="FG45" s="191">
        <v>101.75</v>
      </c>
      <c r="FH45" s="191">
        <v>119.82599999999999</v>
      </c>
      <c r="FI45" s="191">
        <v>59.7</v>
      </c>
      <c r="FJ45" s="191">
        <v>157.06299999999999</v>
      </c>
      <c r="FK45" s="191">
        <v>58.744999999999997</v>
      </c>
      <c r="FL45" s="191">
        <v>54.62</v>
      </c>
      <c r="FM45" s="191">
        <v>42.716000000000001</v>
      </c>
      <c r="FN45" s="191">
        <v>267.178</v>
      </c>
      <c r="FO45" s="191">
        <f>SUM(FC45:FN45)</f>
        <v>1163.846</v>
      </c>
      <c r="FP45" s="191">
        <v>118.65</v>
      </c>
      <c r="FQ45" s="191">
        <v>131.054</v>
      </c>
      <c r="FR45" s="191">
        <v>353.8</v>
      </c>
      <c r="FS45" s="191">
        <v>1094.211</v>
      </c>
      <c r="FT45" s="191">
        <v>777.10400000000004</v>
      </c>
      <c r="FU45" s="191">
        <v>827.16</v>
      </c>
      <c r="FV45" s="191">
        <v>960.94299999999998</v>
      </c>
      <c r="FW45" s="191">
        <v>123.375</v>
      </c>
      <c r="FX45" s="191">
        <v>36.11</v>
      </c>
      <c r="FY45" s="191">
        <v>70.72</v>
      </c>
      <c r="FZ45" s="191">
        <v>1167.9000000000001</v>
      </c>
      <c r="GA45" s="191">
        <v>228.00899999999999</v>
      </c>
      <c r="GB45" s="191">
        <f>SUM(FP45:GA45)</f>
        <v>5889.0360000000001</v>
      </c>
      <c r="GC45" s="191">
        <v>25.26</v>
      </c>
      <c r="GD45" s="191">
        <v>35.28</v>
      </c>
      <c r="GE45" s="191">
        <v>560.54300000000001</v>
      </c>
      <c r="GF45" s="191">
        <v>1166.4449999999999</v>
      </c>
      <c r="GG45" s="191">
        <v>1277.7190000000001</v>
      </c>
      <c r="GH45" s="191">
        <v>1267.5350000000001</v>
      </c>
      <c r="GI45" s="191">
        <v>938.01400000000001</v>
      </c>
      <c r="GJ45" s="191">
        <v>50.03</v>
      </c>
      <c r="GK45" s="191">
        <v>1006.325</v>
      </c>
      <c r="GL45" s="191">
        <v>23.19</v>
      </c>
      <c r="GM45" s="191">
        <v>229.8</v>
      </c>
      <c r="GN45" s="191">
        <v>457.5</v>
      </c>
      <c r="GO45" s="191">
        <f>SUM(GC45:GN45)</f>
        <v>7037.6409999999996</v>
      </c>
      <c r="GP45" s="191">
        <v>67.284999999999997</v>
      </c>
      <c r="GQ45" s="191">
        <v>25.01</v>
      </c>
      <c r="GR45" s="191">
        <v>801.39599999999996</v>
      </c>
      <c r="GS45" s="191">
        <v>43.769999999999996</v>
      </c>
      <c r="GT45" s="191">
        <v>7.1</v>
      </c>
      <c r="GU45" s="191">
        <v>96.89</v>
      </c>
      <c r="GV45" s="191">
        <v>13.204000000000001</v>
      </c>
      <c r="GW45" s="191">
        <v>406.72699999999998</v>
      </c>
      <c r="GX45" s="191">
        <v>20.61</v>
      </c>
      <c r="GY45" s="191">
        <v>14.93</v>
      </c>
      <c r="GZ45" s="191">
        <v>2.86</v>
      </c>
      <c r="HA45" s="191">
        <v>980.91</v>
      </c>
      <c r="HB45" s="191">
        <v>69.337000000000003</v>
      </c>
      <c r="HC45" s="191">
        <v>560.20000000000005</v>
      </c>
      <c r="HD45" s="191">
        <v>1521.16</v>
      </c>
      <c r="HE45" s="191">
        <f>5670+177.107</f>
        <v>5847.107</v>
      </c>
      <c r="HF45" s="191">
        <v>1432.8789999999999</v>
      </c>
      <c r="HG45" s="191">
        <v>210.53100000000001</v>
      </c>
      <c r="HH45" s="191">
        <v>1232.1510000000001</v>
      </c>
      <c r="HI45" s="191">
        <f>330.194+2.5</f>
        <v>332.69400000000002</v>
      </c>
      <c r="HJ45" s="191">
        <f>0.5+12</f>
        <v>12.5</v>
      </c>
      <c r="HK45" s="191">
        <f>2+64.33</f>
        <v>66.33</v>
      </c>
      <c r="HL45" s="191">
        <v>20.774999999999999</v>
      </c>
      <c r="HM45" s="191">
        <v>513.29300000000001</v>
      </c>
      <c r="HN45" s="191">
        <f>SUM(HB45:HM45)</f>
        <v>11818.957</v>
      </c>
      <c r="HO45" s="191">
        <v>557.37199999999996</v>
      </c>
      <c r="HP45" s="191">
        <v>486.07600000000002</v>
      </c>
      <c r="HQ45" s="191">
        <v>891.22</v>
      </c>
      <c r="HR45" s="191">
        <v>165.04599999999999</v>
      </c>
      <c r="HS45" s="191">
        <v>1939.0609999999999</v>
      </c>
      <c r="HT45" s="191">
        <v>580.47799999999995</v>
      </c>
      <c r="HU45" s="410">
        <v>1138.576</v>
      </c>
      <c r="HV45" s="376">
        <v>105.3</v>
      </c>
      <c r="HW45" s="389">
        <v>28.75</v>
      </c>
      <c r="HX45" s="389">
        <v>16.5</v>
      </c>
      <c r="HY45" s="389">
        <v>205.18</v>
      </c>
      <c r="HZ45" s="411">
        <v>171.596</v>
      </c>
      <c r="IA45" s="191">
        <v>4.42</v>
      </c>
      <c r="IB45" s="191">
        <v>29.524999999999999</v>
      </c>
      <c r="IC45" s="191">
        <v>39.200000000000003</v>
      </c>
      <c r="ID45" s="191">
        <v>60.17</v>
      </c>
      <c r="IE45" s="191">
        <v>14.86</v>
      </c>
      <c r="IF45" s="191">
        <v>113.95</v>
      </c>
      <c r="IG45" s="410">
        <v>0</v>
      </c>
      <c r="IH45" s="410">
        <v>14.4</v>
      </c>
      <c r="II45" s="410">
        <v>16.45</v>
      </c>
      <c r="IJ45" s="410">
        <v>93.4</v>
      </c>
      <c r="IK45" s="410">
        <v>37.1</v>
      </c>
      <c r="IL45" s="410">
        <v>10.493</v>
      </c>
      <c r="IM45" s="410">
        <v>6.8</v>
      </c>
      <c r="IN45" s="410">
        <v>2.5</v>
      </c>
      <c r="IO45" s="410">
        <v>154.46</v>
      </c>
      <c r="IP45" s="410">
        <v>0.85</v>
      </c>
      <c r="IQ45" s="410">
        <v>0</v>
      </c>
      <c r="IR45" s="410">
        <v>10.717000000000001</v>
      </c>
      <c r="IS45" s="410">
        <v>0</v>
      </c>
      <c r="IT45" s="410">
        <v>7</v>
      </c>
      <c r="IU45" s="410">
        <v>0</v>
      </c>
      <c r="IV45" s="410">
        <v>27.036000000000001</v>
      </c>
      <c r="IW45" s="410">
        <v>18</v>
      </c>
      <c r="IX45" s="410">
        <v>4.07</v>
      </c>
      <c r="IY45" s="410">
        <v>0</v>
      </c>
      <c r="IZ45" s="410">
        <v>0</v>
      </c>
      <c r="JA45" s="410"/>
      <c r="JB45" s="410"/>
      <c r="JC45" s="410"/>
      <c r="JD45" s="410"/>
      <c r="JE45" s="410"/>
      <c r="JF45" s="410"/>
      <c r="JG45" s="410"/>
      <c r="JH45" s="410"/>
      <c r="JI45" s="410"/>
      <c r="JJ45" s="410"/>
      <c r="JK45" s="410">
        <f t="shared" si="100"/>
        <v>9.3000000000000007</v>
      </c>
      <c r="JL45" s="410">
        <f t="shared" si="101"/>
        <v>0</v>
      </c>
      <c r="JM45" s="10"/>
      <c r="JN45" s="10"/>
      <c r="JO45" s="10"/>
      <c r="JP45" s="10"/>
      <c r="JQ45" s="10"/>
      <c r="JR45" s="10"/>
      <c r="JS45" s="10"/>
      <c r="JT45" s="11"/>
      <c r="JU45" s="11"/>
    </row>
    <row r="46" spans="1:281" x14ac:dyDescent="0.25">
      <c r="A46" s="55"/>
      <c r="B46" s="34"/>
      <c r="C46" s="34"/>
      <c r="D46" s="34"/>
      <c r="E46" s="79"/>
      <c r="F46" s="79"/>
      <c r="G46" s="79"/>
      <c r="H46" s="79"/>
      <c r="I46" s="79"/>
      <c r="J46" s="79"/>
      <c r="K46" s="79"/>
      <c r="L46" s="79"/>
      <c r="M46" s="112" t="s">
        <v>27</v>
      </c>
      <c r="N46" s="97" t="s">
        <v>27</v>
      </c>
      <c r="O46" s="98" t="s">
        <v>27</v>
      </c>
      <c r="P46" s="92"/>
      <c r="Q46" s="93"/>
      <c r="R46" s="93"/>
      <c r="S46" s="92"/>
      <c r="T46" s="92"/>
      <c r="U46" s="69"/>
      <c r="V46" s="69"/>
      <c r="W46" s="93"/>
      <c r="X46" s="93"/>
      <c r="Y46" s="94"/>
      <c r="Z46" s="93"/>
      <c r="AA46" s="93"/>
      <c r="AB46" s="93"/>
      <c r="AC46" s="94"/>
      <c r="AD46" s="93"/>
      <c r="AE46" s="94"/>
      <c r="AF46" s="93"/>
      <c r="AG46" s="93"/>
      <c r="AH46" s="94"/>
      <c r="AI46" s="94"/>
      <c r="AJ46" s="94"/>
      <c r="AK46" s="94"/>
      <c r="AL46" s="94"/>
      <c r="AM46" s="94"/>
      <c r="AN46" s="105"/>
      <c r="AO46" s="95"/>
      <c r="AP46" s="69"/>
      <c r="AQ46" s="95"/>
      <c r="AR46" s="101"/>
      <c r="AS46" s="69"/>
      <c r="AT46" s="69"/>
      <c r="AU46" s="69"/>
      <c r="AV46" s="69"/>
      <c r="AW46" s="69"/>
      <c r="AX46" s="95"/>
      <c r="AY46" s="93"/>
      <c r="AZ46" s="95"/>
      <c r="BA46" s="95"/>
      <c r="BB46" s="95"/>
      <c r="BC46" s="95"/>
      <c r="BD46" s="95"/>
      <c r="BE46" s="95"/>
      <c r="BF46" s="191"/>
      <c r="BG46" s="191"/>
      <c r="BH46" s="191"/>
      <c r="BI46" s="191"/>
      <c r="BJ46" s="191"/>
      <c r="BK46" s="191"/>
      <c r="BL46" s="191">
        <v>0</v>
      </c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333"/>
      <c r="HT46" s="333"/>
      <c r="HU46" s="408"/>
      <c r="HV46" s="375"/>
      <c r="HW46" s="375"/>
      <c r="HX46" s="375"/>
      <c r="HY46" s="375"/>
      <c r="HZ46" s="412"/>
      <c r="IA46" s="391"/>
      <c r="IB46" s="391"/>
      <c r="IC46" s="391"/>
      <c r="ID46" s="391"/>
      <c r="IE46" s="391"/>
      <c r="IF46" s="391"/>
      <c r="IG46" s="437"/>
      <c r="IH46" s="437"/>
      <c r="II46" s="437"/>
      <c r="IJ46" s="437"/>
      <c r="IK46" s="437"/>
      <c r="IL46" s="437"/>
      <c r="IM46" s="437"/>
      <c r="IN46" s="437"/>
      <c r="IO46" s="437"/>
      <c r="IP46" s="437"/>
      <c r="IQ46" s="437"/>
      <c r="IR46" s="437"/>
      <c r="IS46" s="437"/>
      <c r="IT46" s="437"/>
      <c r="IU46" s="437"/>
      <c r="IV46" s="437"/>
      <c r="IW46" s="437"/>
      <c r="IX46" s="437"/>
      <c r="IY46" s="437"/>
      <c r="IZ46" s="437"/>
      <c r="JA46" s="437"/>
      <c r="JB46" s="437"/>
      <c r="JC46" s="437"/>
      <c r="JD46" s="437"/>
      <c r="JE46" s="437"/>
      <c r="JF46" s="437"/>
      <c r="JG46" s="437"/>
      <c r="JH46" s="437"/>
      <c r="JI46" s="437"/>
      <c r="JJ46" s="437"/>
      <c r="JK46" s="408"/>
      <c r="JL46" s="437"/>
      <c r="JM46" s="10"/>
      <c r="JN46" s="10"/>
      <c r="JO46" s="10"/>
      <c r="JP46" s="10"/>
      <c r="JQ46" s="10"/>
      <c r="JR46" s="10"/>
      <c r="JS46" s="10"/>
      <c r="JT46" s="11"/>
      <c r="JU46" s="11"/>
    </row>
    <row r="47" spans="1:281" s="303" customFormat="1" x14ac:dyDescent="0.25">
      <c r="A47" s="218" t="s">
        <v>53</v>
      </c>
      <c r="B47" s="34"/>
      <c r="C47" s="34"/>
      <c r="D47" s="34"/>
      <c r="E47" s="79">
        <v>112</v>
      </c>
      <c r="F47" s="79">
        <v>224</v>
      </c>
      <c r="G47" s="79">
        <v>103</v>
      </c>
      <c r="H47" s="79">
        <v>52</v>
      </c>
      <c r="I47" s="79">
        <v>45</v>
      </c>
      <c r="J47" s="79">
        <v>64</v>
      </c>
      <c r="K47" s="79">
        <v>658</v>
      </c>
      <c r="L47" s="79">
        <v>405</v>
      </c>
      <c r="M47" s="79">
        <v>632</v>
      </c>
      <c r="N47" s="92">
        <v>381</v>
      </c>
      <c r="O47" s="93">
        <v>24</v>
      </c>
      <c r="P47" s="92">
        <v>188</v>
      </c>
      <c r="Q47" s="93">
        <v>551</v>
      </c>
      <c r="R47" s="93">
        <v>1589.5150000000001</v>
      </c>
      <c r="S47" s="92">
        <v>117</v>
      </c>
      <c r="T47" s="92">
        <v>113</v>
      </c>
      <c r="U47" s="69">
        <v>83</v>
      </c>
      <c r="V47" s="69">
        <v>142</v>
      </c>
      <c r="W47" s="93">
        <v>116</v>
      </c>
      <c r="X47" s="93">
        <v>85</v>
      </c>
      <c r="Y47" s="94">
        <f>7+77</f>
        <v>84</v>
      </c>
      <c r="Z47" s="93">
        <v>141</v>
      </c>
      <c r="AA47" s="93">
        <v>165</v>
      </c>
      <c r="AB47" s="93">
        <v>154</v>
      </c>
      <c r="AC47" s="94">
        <v>232</v>
      </c>
      <c r="AD47" s="93">
        <f>1.5+156.015</f>
        <v>157.51499999999999</v>
      </c>
      <c r="AE47" s="94">
        <f>SUM(S47:AD47)</f>
        <v>1589.5149999999999</v>
      </c>
      <c r="AF47" s="93">
        <v>2157.9769999999999</v>
      </c>
      <c r="AG47" s="93">
        <v>2577</v>
      </c>
      <c r="AH47" s="94">
        <v>3407</v>
      </c>
      <c r="AI47" s="94">
        <v>4816</v>
      </c>
      <c r="AJ47" s="94">
        <v>4874</v>
      </c>
      <c r="AK47" s="94">
        <v>6785</v>
      </c>
      <c r="AL47" s="94">
        <v>5575.8570000000009</v>
      </c>
      <c r="AM47" s="94">
        <v>6405.6449999999995</v>
      </c>
      <c r="AN47" s="101">
        <v>569.35</v>
      </c>
      <c r="AO47" s="93">
        <v>459.8</v>
      </c>
      <c r="AP47" s="93">
        <v>564.42999999999995</v>
      </c>
      <c r="AQ47" s="93">
        <v>621.29999999999995</v>
      </c>
      <c r="AR47" s="101">
        <v>469</v>
      </c>
      <c r="AS47" s="93">
        <v>511</v>
      </c>
      <c r="AT47" s="93">
        <v>480.99</v>
      </c>
      <c r="AU47" s="93">
        <v>362.21</v>
      </c>
      <c r="AV47" s="93">
        <v>497.54</v>
      </c>
      <c r="AW47" s="93">
        <v>487.5</v>
      </c>
      <c r="AX47" s="93">
        <v>611.32500000000005</v>
      </c>
      <c r="AY47" s="93">
        <v>771.2</v>
      </c>
      <c r="AZ47" s="69">
        <f>SUM(AN47:AY47)</f>
        <v>6405.6449999999995</v>
      </c>
      <c r="BA47" s="69">
        <v>9096.7169999999987</v>
      </c>
      <c r="BB47" s="69">
        <v>8959.1200000000008</v>
      </c>
      <c r="BC47" s="69">
        <v>10036.546</v>
      </c>
      <c r="BD47" s="69">
        <v>6651.6349999999993</v>
      </c>
      <c r="BE47" s="69">
        <v>5667.2849999999999</v>
      </c>
      <c r="BF47" s="333">
        <v>7515.3540000000012</v>
      </c>
      <c r="BG47" s="333">
        <v>5855.4750000000013</v>
      </c>
      <c r="BH47" s="333">
        <v>5624.8270000000002</v>
      </c>
      <c r="BI47" s="333">
        <v>1468.751</v>
      </c>
      <c r="BJ47" s="333">
        <v>3055.9269999999997</v>
      </c>
      <c r="BK47" s="333">
        <v>2977.6390000000006</v>
      </c>
      <c r="BL47" s="333">
        <v>3174.0009999999997</v>
      </c>
      <c r="BM47" s="333">
        <v>2597.6400000000003</v>
      </c>
      <c r="BN47" s="333">
        <v>1532.3549999999998</v>
      </c>
      <c r="BO47" s="333">
        <v>2099.0699999999997</v>
      </c>
      <c r="BP47" s="333">
        <v>117.8</v>
      </c>
      <c r="BQ47" s="333">
        <v>162.65</v>
      </c>
      <c r="BR47" s="333">
        <v>142.9</v>
      </c>
      <c r="BS47" s="333">
        <v>88.37</v>
      </c>
      <c r="BT47" s="333">
        <v>113.82</v>
      </c>
      <c r="BU47" s="333">
        <v>100.6</v>
      </c>
      <c r="BV47" s="333">
        <v>140.55000000000001</v>
      </c>
      <c r="BW47" s="333">
        <v>141.57</v>
      </c>
      <c r="BX47" s="333">
        <v>130.84</v>
      </c>
      <c r="BY47" s="333">
        <v>133.35499999999999</v>
      </c>
      <c r="BZ47" s="333">
        <v>147.80000000000001</v>
      </c>
      <c r="CA47" s="333">
        <v>1532.3549999999998</v>
      </c>
      <c r="CB47" s="333">
        <f>SUM(BP47:CA47)</f>
        <v>2952.6099999999997</v>
      </c>
      <c r="CC47" s="333">
        <v>842.5</v>
      </c>
      <c r="CD47" s="333">
        <v>495.3</v>
      </c>
      <c r="CE47" s="333">
        <v>808.55</v>
      </c>
      <c r="CF47" s="333">
        <v>564.5</v>
      </c>
      <c r="CG47" s="333">
        <v>524.5</v>
      </c>
      <c r="CH47" s="333">
        <v>542.5</v>
      </c>
      <c r="CI47" s="333">
        <v>681.3</v>
      </c>
      <c r="CJ47" s="333">
        <v>901.8</v>
      </c>
      <c r="CK47" s="333">
        <v>777</v>
      </c>
      <c r="CL47" s="333">
        <v>673.1</v>
      </c>
      <c r="CM47" s="333">
        <v>1115.3699999999999</v>
      </c>
      <c r="CN47" s="333">
        <v>1032.7</v>
      </c>
      <c r="CO47" s="333">
        <f>SUM(CC47:CN47)</f>
        <v>8959.1200000000008</v>
      </c>
      <c r="CP47" s="333">
        <v>750.45</v>
      </c>
      <c r="CQ47" s="333">
        <v>1119.93</v>
      </c>
      <c r="CR47" s="333">
        <v>1025.81</v>
      </c>
      <c r="CS47" s="333">
        <v>1165.0889999999999</v>
      </c>
      <c r="CT47" s="333">
        <v>1040.25</v>
      </c>
      <c r="CU47" s="333">
        <v>897.38</v>
      </c>
      <c r="CV47" s="333">
        <v>729.26</v>
      </c>
      <c r="CW47" s="333">
        <v>858.73</v>
      </c>
      <c r="CX47" s="333">
        <v>593.91</v>
      </c>
      <c r="CY47" s="333">
        <v>473.697</v>
      </c>
      <c r="CZ47" s="333">
        <v>600.71</v>
      </c>
      <c r="DA47" s="333">
        <v>781.33</v>
      </c>
      <c r="DB47" s="333">
        <f>SUM(CP47:DA47)</f>
        <v>10036.546</v>
      </c>
      <c r="DC47" s="333">
        <v>569.21600000000001</v>
      </c>
      <c r="DD47" s="333">
        <v>528.35</v>
      </c>
      <c r="DE47" s="333">
        <v>716.97</v>
      </c>
      <c r="DF47" s="333">
        <v>1414.65</v>
      </c>
      <c r="DG47" s="333">
        <v>508.4</v>
      </c>
      <c r="DH47" s="333">
        <v>593.96</v>
      </c>
      <c r="DI47" s="333">
        <v>485.15</v>
      </c>
      <c r="DJ47" s="333">
        <v>517.32000000000005</v>
      </c>
      <c r="DK47" s="333">
        <v>507.74</v>
      </c>
      <c r="DL47" s="333">
        <v>383.99</v>
      </c>
      <c r="DM47" s="333">
        <v>2</v>
      </c>
      <c r="DN47" s="333">
        <v>423.88900000000001</v>
      </c>
      <c r="DO47" s="333">
        <f>SUM(DC47:DN47)</f>
        <v>6651.6349999999993</v>
      </c>
      <c r="DP47" s="333">
        <v>601.66499999999996</v>
      </c>
      <c r="DQ47" s="333">
        <v>372.45499999999998</v>
      </c>
      <c r="DR47" s="333">
        <v>351.35</v>
      </c>
      <c r="DS47" s="333">
        <v>418.39499999999998</v>
      </c>
      <c r="DT47" s="333">
        <v>696.63</v>
      </c>
      <c r="DU47" s="333">
        <v>455.7</v>
      </c>
      <c r="DV47" s="333">
        <v>2.2000000000000002</v>
      </c>
      <c r="DW47" s="333">
        <v>448.96</v>
      </c>
      <c r="DX47" s="333">
        <v>648.75</v>
      </c>
      <c r="DY47" s="333">
        <v>555.54999999999995</v>
      </c>
      <c r="DZ47" s="333">
        <v>548.63</v>
      </c>
      <c r="EA47" s="333">
        <v>567</v>
      </c>
      <c r="EB47" s="333">
        <f>SUM(DP47:EA47)</f>
        <v>5667.2849999999999</v>
      </c>
      <c r="EC47" s="333">
        <v>473.42700000000002</v>
      </c>
      <c r="ED47" s="333">
        <v>367.05</v>
      </c>
      <c r="EE47" s="333">
        <v>684.37300000000005</v>
      </c>
      <c r="EF47" s="333">
        <v>571.35</v>
      </c>
      <c r="EG47" s="333">
        <v>632.54999999999995</v>
      </c>
      <c r="EH47" s="333">
        <v>680.61</v>
      </c>
      <c r="EI47" s="333">
        <v>645.11</v>
      </c>
      <c r="EJ47" s="333">
        <v>496.428</v>
      </c>
      <c r="EK47" s="333">
        <v>729.04899999999998</v>
      </c>
      <c r="EL47" s="333">
        <v>798.97500000000002</v>
      </c>
      <c r="EM47" s="333">
        <v>840.952</v>
      </c>
      <c r="EN47" s="333">
        <v>595.48</v>
      </c>
      <c r="EO47" s="333">
        <f>SUM(EC47:EN47)</f>
        <v>7515.3540000000012</v>
      </c>
      <c r="EP47" s="333">
        <v>466.05</v>
      </c>
      <c r="EQ47" s="333">
        <v>533.1</v>
      </c>
      <c r="ER47" s="333">
        <v>793.02099999999996</v>
      </c>
      <c r="ES47" s="333">
        <v>549.88400000000001</v>
      </c>
      <c r="ET47" s="333">
        <v>355.77</v>
      </c>
      <c r="EU47" s="333">
        <v>504.4</v>
      </c>
      <c r="EV47" s="333">
        <v>261.26</v>
      </c>
      <c r="EW47" s="333">
        <v>285.2</v>
      </c>
      <c r="EX47" s="333">
        <v>402.39</v>
      </c>
      <c r="EY47" s="333">
        <v>601.25</v>
      </c>
      <c r="EZ47" s="333">
        <v>466.1</v>
      </c>
      <c r="FA47" s="333">
        <v>637.04999999999995</v>
      </c>
      <c r="FB47" s="333">
        <f>SUM(EP47:FA47)</f>
        <v>5855.4750000000013</v>
      </c>
      <c r="FC47" s="333">
        <v>690.096</v>
      </c>
      <c r="FD47" s="333">
        <v>519.9</v>
      </c>
      <c r="FE47" s="333">
        <v>685.47</v>
      </c>
      <c r="FF47" s="333">
        <v>588.30399999999997</v>
      </c>
      <c r="FG47" s="333">
        <v>545.23599999999999</v>
      </c>
      <c r="FH47" s="333">
        <v>443.3</v>
      </c>
      <c r="FI47" s="333">
        <v>373.95</v>
      </c>
      <c r="FJ47" s="333">
        <v>575.90099999999995</v>
      </c>
      <c r="FK47" s="333">
        <v>532.85</v>
      </c>
      <c r="FL47" s="333">
        <v>336.77</v>
      </c>
      <c r="FM47" s="333">
        <v>259.25</v>
      </c>
      <c r="FN47" s="333">
        <v>73.8</v>
      </c>
      <c r="FO47" s="333">
        <f>SUM(FC47:FN47)</f>
        <v>5624.8270000000002</v>
      </c>
      <c r="FP47" s="333">
        <v>103.95</v>
      </c>
      <c r="FQ47" s="333">
        <v>235.3</v>
      </c>
      <c r="FR47" s="333">
        <v>164.88</v>
      </c>
      <c r="FS47" s="333">
        <v>135.49</v>
      </c>
      <c r="FT47" s="333">
        <v>78.819999999999993</v>
      </c>
      <c r="FU47" s="333">
        <v>72.403999999999996</v>
      </c>
      <c r="FV47" s="333">
        <v>50.05</v>
      </c>
      <c r="FW47" s="333">
        <v>101.45</v>
      </c>
      <c r="FX47" s="333">
        <v>85.85</v>
      </c>
      <c r="FY47" s="333">
        <v>164.15</v>
      </c>
      <c r="FZ47" s="333">
        <v>103.6</v>
      </c>
      <c r="GA47" s="333">
        <v>172.80699999999999</v>
      </c>
      <c r="GB47" s="333">
        <f>SUM(FP47:GA47)</f>
        <v>1468.751</v>
      </c>
      <c r="GC47" s="333">
        <v>103.72</v>
      </c>
      <c r="GD47" s="333">
        <v>124.226</v>
      </c>
      <c r="GE47" s="333">
        <v>339.13499999999999</v>
      </c>
      <c r="GF47" s="333">
        <v>357.6</v>
      </c>
      <c r="GG47" s="333">
        <v>490.47500000000002</v>
      </c>
      <c r="GH47" s="333">
        <v>254.25</v>
      </c>
      <c r="GI47" s="333">
        <v>279.55</v>
      </c>
      <c r="GJ47" s="333">
        <v>212.46</v>
      </c>
      <c r="GK47" s="333">
        <v>150.91999999999999</v>
      </c>
      <c r="GL47" s="333">
        <v>371.35</v>
      </c>
      <c r="GM47" s="333">
        <v>192.56100000000001</v>
      </c>
      <c r="GN47" s="333">
        <v>179.68</v>
      </c>
      <c r="GO47" s="333">
        <f>SUM(GC47:GN47)</f>
        <v>3055.9269999999997</v>
      </c>
      <c r="GP47" s="333">
        <v>464.99200000000002</v>
      </c>
      <c r="GQ47" s="333">
        <v>189.27</v>
      </c>
      <c r="GR47" s="333">
        <v>508.04</v>
      </c>
      <c r="GS47" s="333">
        <v>232.45</v>
      </c>
      <c r="GT47" s="333">
        <v>115</v>
      </c>
      <c r="GU47" s="333">
        <v>142.9</v>
      </c>
      <c r="GV47" s="333">
        <v>149.80000000000001</v>
      </c>
      <c r="GW47" s="333">
        <v>326.44</v>
      </c>
      <c r="GX47" s="333">
        <v>132.11500000000001</v>
      </c>
      <c r="GY47" s="333">
        <v>131.59200000000001</v>
      </c>
      <c r="GZ47" s="333">
        <v>283.60000000000002</v>
      </c>
      <c r="HA47" s="333">
        <v>301.44</v>
      </c>
      <c r="HB47" s="333">
        <v>98.35</v>
      </c>
      <c r="HC47" s="333">
        <v>271.7</v>
      </c>
      <c r="HD47" s="333">
        <v>238.1</v>
      </c>
      <c r="HE47" s="333">
        <v>293.73</v>
      </c>
      <c r="HF47" s="333">
        <v>438.95</v>
      </c>
      <c r="HG47" s="333">
        <v>326.95</v>
      </c>
      <c r="HH47" s="333">
        <v>131.08000000000001</v>
      </c>
      <c r="HI47" s="333">
        <v>328.94</v>
      </c>
      <c r="HJ47" s="333">
        <v>516.64099999999996</v>
      </c>
      <c r="HK47" s="333">
        <v>190.3</v>
      </c>
      <c r="HL47" s="333">
        <v>230.62</v>
      </c>
      <c r="HM47" s="333">
        <v>108.64</v>
      </c>
      <c r="HN47" s="333">
        <f>SUM(HB47:HM47)</f>
        <v>3174.0009999999997</v>
      </c>
      <c r="HO47" s="333">
        <v>195.935</v>
      </c>
      <c r="HP47" s="333">
        <v>142.9</v>
      </c>
      <c r="HQ47" s="333">
        <v>125.8</v>
      </c>
      <c r="HR47" s="333">
        <v>499.61</v>
      </c>
      <c r="HS47" s="333">
        <v>190.2</v>
      </c>
      <c r="HT47" s="333">
        <v>431.3</v>
      </c>
      <c r="HU47" s="408">
        <v>276.2</v>
      </c>
      <c r="HV47" s="333">
        <v>144.648</v>
      </c>
      <c r="HW47" s="333">
        <v>152.37</v>
      </c>
      <c r="HX47" s="333">
        <v>131.928</v>
      </c>
      <c r="HY47" s="394">
        <v>145.15899999999999</v>
      </c>
      <c r="HZ47" s="413">
        <v>161.59</v>
      </c>
      <c r="IA47" s="408">
        <v>112.1</v>
      </c>
      <c r="IB47" s="408">
        <v>117.8</v>
      </c>
      <c r="IC47" s="408">
        <v>162.65</v>
      </c>
      <c r="ID47" s="408">
        <v>142.9</v>
      </c>
      <c r="IE47" s="408">
        <v>88.37</v>
      </c>
      <c r="IF47" s="333">
        <v>113.82</v>
      </c>
      <c r="IG47" s="408">
        <v>100.6</v>
      </c>
      <c r="IH47" s="333">
        <v>140.55000000000001</v>
      </c>
      <c r="II47" s="333">
        <v>141.57</v>
      </c>
      <c r="IJ47" s="333">
        <v>130.84</v>
      </c>
      <c r="IK47" s="333">
        <v>133.35499999999999</v>
      </c>
      <c r="IL47" s="333">
        <v>147.80000000000001</v>
      </c>
      <c r="IM47" s="333">
        <v>99.95</v>
      </c>
      <c r="IN47" s="333">
        <v>97.95</v>
      </c>
      <c r="IO47" s="333">
        <v>119.03</v>
      </c>
      <c r="IP47" s="333">
        <v>102.6</v>
      </c>
      <c r="IQ47" s="333">
        <v>51.55</v>
      </c>
      <c r="IR47" s="333">
        <v>108.9</v>
      </c>
      <c r="IS47" s="333">
        <v>201.65</v>
      </c>
      <c r="IT47" s="333">
        <v>272.22000000000003</v>
      </c>
      <c r="IU47" s="333">
        <v>273.83999999999997</v>
      </c>
      <c r="IV47" s="333">
        <v>157.19999999999999</v>
      </c>
      <c r="IW47" s="333">
        <v>290.27999999999997</v>
      </c>
      <c r="IX47" s="333">
        <v>323.89999999999998</v>
      </c>
      <c r="IY47" s="333">
        <v>317.35000000000002</v>
      </c>
      <c r="IZ47" s="333">
        <v>317.45</v>
      </c>
      <c r="JA47" s="333"/>
      <c r="JB47" s="333"/>
      <c r="JC47" s="333"/>
      <c r="JD47" s="333"/>
      <c r="JE47" s="333"/>
      <c r="JF47" s="333"/>
      <c r="JG47" s="333"/>
      <c r="JH47" s="333"/>
      <c r="JI47" s="333"/>
      <c r="JJ47" s="333"/>
      <c r="JK47" s="408">
        <f>+IM47+IN47</f>
        <v>197.9</v>
      </c>
      <c r="JL47" s="333">
        <f>+IY47+IZ47</f>
        <v>634.79999999999995</v>
      </c>
      <c r="JM47" s="305"/>
      <c r="JN47" s="305"/>
      <c r="JO47" s="305"/>
      <c r="JP47" s="305"/>
      <c r="JQ47" s="305"/>
      <c r="JR47" s="305"/>
      <c r="JS47" s="305"/>
      <c r="JT47" s="304"/>
      <c r="JU47" s="306"/>
    </row>
    <row r="48" spans="1:281" x14ac:dyDescent="0.25">
      <c r="A48" s="91" t="s">
        <v>25</v>
      </c>
      <c r="B48" s="34"/>
      <c r="C48" s="34"/>
      <c r="D48" s="34"/>
      <c r="E48" s="79"/>
      <c r="F48" s="79"/>
      <c r="G48" s="79"/>
      <c r="H48" s="79"/>
      <c r="I48" s="79"/>
      <c r="J48" s="79"/>
      <c r="K48" s="79"/>
      <c r="L48" s="79"/>
      <c r="M48" s="79"/>
      <c r="N48" s="92"/>
      <c r="O48" s="93"/>
      <c r="P48" s="92"/>
      <c r="Q48" s="93"/>
      <c r="R48" s="93"/>
      <c r="S48" s="92"/>
      <c r="T48" s="92"/>
      <c r="U48" s="69"/>
      <c r="V48" s="69"/>
      <c r="W48" s="93"/>
      <c r="X48" s="93"/>
      <c r="Y48" s="94"/>
      <c r="Z48" s="93"/>
      <c r="AA48" s="93"/>
      <c r="AB48" s="93"/>
      <c r="AC48" s="94"/>
      <c r="AD48" s="93"/>
      <c r="AE48" s="94"/>
      <c r="AF48" s="93"/>
      <c r="AG48" s="93"/>
      <c r="AH48" s="94"/>
      <c r="AI48" s="94"/>
      <c r="AJ48" s="94"/>
      <c r="AK48" s="94"/>
      <c r="AL48" s="94"/>
      <c r="AM48" s="94"/>
      <c r="AN48" s="95"/>
      <c r="AO48" s="95"/>
      <c r="AP48" s="69"/>
      <c r="AQ48" s="95"/>
      <c r="AR48" s="101"/>
      <c r="AS48" s="69"/>
      <c r="AT48" s="69"/>
      <c r="AU48" s="95"/>
      <c r="AV48" s="69"/>
      <c r="AW48" s="69"/>
      <c r="AX48" s="95"/>
      <c r="AY48" s="93"/>
      <c r="AZ48" s="95"/>
      <c r="BA48" s="95"/>
      <c r="BB48" s="95"/>
      <c r="BC48" s="95"/>
      <c r="BD48" s="95"/>
      <c r="BE48" s="95"/>
      <c r="BF48" s="191"/>
      <c r="BG48" s="191"/>
      <c r="BH48" s="191"/>
      <c r="BI48" s="191"/>
      <c r="BJ48" s="191"/>
      <c r="BK48" s="191"/>
      <c r="BL48" s="191">
        <v>0</v>
      </c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333"/>
      <c r="HO48" s="191"/>
      <c r="HP48" s="191"/>
      <c r="HQ48" s="191"/>
      <c r="HR48" s="191"/>
      <c r="HS48" s="333"/>
      <c r="HT48" s="333"/>
      <c r="HU48" s="408"/>
      <c r="HV48" s="375"/>
      <c r="HW48" s="375"/>
      <c r="HX48" s="375"/>
      <c r="HY48" s="375"/>
      <c r="HZ48" s="412"/>
      <c r="IA48" s="391"/>
      <c r="IB48" s="391"/>
      <c r="IC48" s="391"/>
      <c r="ID48" s="391"/>
      <c r="IE48" s="391"/>
      <c r="IF48" s="391"/>
      <c r="IG48" s="437"/>
      <c r="IH48" s="437"/>
      <c r="II48" s="437"/>
      <c r="IJ48" s="437"/>
      <c r="IK48" s="437"/>
      <c r="IL48" s="437"/>
      <c r="IM48" s="437"/>
      <c r="IN48" s="437"/>
      <c r="IO48" s="437"/>
      <c r="IP48" s="437"/>
      <c r="IQ48" s="437"/>
      <c r="IR48" s="437"/>
      <c r="IS48" s="437"/>
      <c r="IT48" s="437"/>
      <c r="IU48" s="437"/>
      <c r="IV48" s="437"/>
      <c r="IW48" s="437"/>
      <c r="IX48" s="437"/>
      <c r="IY48" s="437"/>
      <c r="IZ48" s="437"/>
      <c r="JA48" s="437"/>
      <c r="JB48" s="437"/>
      <c r="JC48" s="437"/>
      <c r="JD48" s="437"/>
      <c r="JE48" s="437"/>
      <c r="JF48" s="437"/>
      <c r="JG48" s="437"/>
      <c r="JH48" s="437"/>
      <c r="JI48" s="437"/>
      <c r="JJ48" s="437"/>
      <c r="JK48" s="408"/>
      <c r="JL48" s="437"/>
      <c r="JM48" s="9"/>
      <c r="JN48" s="9"/>
      <c r="JO48" s="9"/>
      <c r="JP48" s="9"/>
      <c r="JQ48" s="9"/>
      <c r="JR48" s="9"/>
      <c r="JS48" s="9"/>
      <c r="JT48" s="9"/>
      <c r="JU48" s="11"/>
    </row>
    <row r="49" spans="1:281" s="303" customFormat="1" x14ac:dyDescent="0.25">
      <c r="A49" s="218" t="s">
        <v>54</v>
      </c>
      <c r="B49" s="34"/>
      <c r="C49" s="34"/>
      <c r="D49" s="34"/>
      <c r="E49" s="79">
        <f t="shared" ref="E49:P49" si="102">SUM(E51:E59)</f>
        <v>71801</v>
      </c>
      <c r="F49" s="79">
        <f t="shared" si="102"/>
        <v>64817</v>
      </c>
      <c r="G49" s="79">
        <f t="shared" si="102"/>
        <v>76477</v>
      </c>
      <c r="H49" s="79">
        <f t="shared" si="102"/>
        <v>78906</v>
      </c>
      <c r="I49" s="79">
        <f t="shared" si="102"/>
        <v>94065</v>
      </c>
      <c r="J49" s="79">
        <f t="shared" si="102"/>
        <v>86666</v>
      </c>
      <c r="K49" s="79">
        <f t="shared" si="102"/>
        <v>71956</v>
      </c>
      <c r="L49" s="79">
        <f t="shared" si="102"/>
        <v>50132</v>
      </c>
      <c r="M49" s="79">
        <f t="shared" si="102"/>
        <v>55116</v>
      </c>
      <c r="N49" s="92">
        <f t="shared" si="102"/>
        <v>34166</v>
      </c>
      <c r="O49" s="93">
        <f t="shared" si="102"/>
        <v>31851</v>
      </c>
      <c r="P49" s="92">
        <f t="shared" si="102"/>
        <v>53729</v>
      </c>
      <c r="Q49" s="93">
        <f>SUM(Q51:Q59)</f>
        <v>51911</v>
      </c>
      <c r="R49" s="93">
        <v>65159.517999999996</v>
      </c>
      <c r="S49" s="92">
        <f t="shared" ref="S49:AE49" si="103">SUM(S51:S59)</f>
        <v>5149</v>
      </c>
      <c r="T49" s="92">
        <f t="shared" si="103"/>
        <v>4609</v>
      </c>
      <c r="U49" s="93">
        <f t="shared" si="103"/>
        <v>5425</v>
      </c>
      <c r="V49" s="93">
        <f t="shared" si="103"/>
        <v>4311</v>
      </c>
      <c r="W49" s="93">
        <f t="shared" si="103"/>
        <v>6112</v>
      </c>
      <c r="X49" s="93">
        <f t="shared" si="103"/>
        <v>5650</v>
      </c>
      <c r="Y49" s="94">
        <f t="shared" si="103"/>
        <v>4062</v>
      </c>
      <c r="Z49" s="93">
        <f t="shared" si="103"/>
        <v>5639</v>
      </c>
      <c r="AA49" s="93">
        <f t="shared" si="103"/>
        <v>7796</v>
      </c>
      <c r="AB49" s="93">
        <f t="shared" si="103"/>
        <v>4540</v>
      </c>
      <c r="AC49" s="93">
        <f t="shared" si="103"/>
        <v>7229</v>
      </c>
      <c r="AD49" s="93">
        <f t="shared" si="103"/>
        <v>4637.518</v>
      </c>
      <c r="AE49" s="94">
        <f t="shared" si="103"/>
        <v>65159.517999999996</v>
      </c>
      <c r="AF49" s="93">
        <v>69711.894</v>
      </c>
      <c r="AG49" s="93">
        <v>72109</v>
      </c>
      <c r="AH49" s="94">
        <v>77188</v>
      </c>
      <c r="AI49" s="94">
        <v>86057</v>
      </c>
      <c r="AJ49" s="94">
        <v>97216</v>
      </c>
      <c r="AK49" s="94">
        <v>86997</v>
      </c>
      <c r="AL49" s="95">
        <v>59277.585000000006</v>
      </c>
      <c r="AM49" s="95">
        <v>53530.692000000003</v>
      </c>
      <c r="AN49" s="93">
        <f t="shared" ref="AN49:BA49" si="104">SUM(AN51:AN59)</f>
        <v>2319.5659999999998</v>
      </c>
      <c r="AO49" s="93">
        <f t="shared" si="104"/>
        <v>4373.7170000000006</v>
      </c>
      <c r="AP49" s="93">
        <f t="shared" si="104"/>
        <v>5964.3189999999995</v>
      </c>
      <c r="AQ49" s="94">
        <f t="shared" si="104"/>
        <v>6106.567</v>
      </c>
      <c r="AR49" s="94">
        <f t="shared" si="104"/>
        <v>5749.4529999999995</v>
      </c>
      <c r="AS49" s="94">
        <f t="shared" si="104"/>
        <v>4871.57</v>
      </c>
      <c r="AT49" s="94">
        <f t="shared" si="104"/>
        <v>4634.93</v>
      </c>
      <c r="AU49" s="94">
        <f t="shared" si="104"/>
        <v>3852.2479999999996</v>
      </c>
      <c r="AV49" s="94">
        <f t="shared" si="104"/>
        <v>4332.3639999999996</v>
      </c>
      <c r="AW49" s="94">
        <f t="shared" si="104"/>
        <v>4636.625</v>
      </c>
      <c r="AX49" s="94">
        <f t="shared" si="104"/>
        <v>2979.9700000000003</v>
      </c>
      <c r="AY49" s="93">
        <f t="shared" si="104"/>
        <v>3259.4629999999997</v>
      </c>
      <c r="AZ49" s="95">
        <f t="shared" si="104"/>
        <v>53080.792000000001</v>
      </c>
      <c r="BA49" s="93">
        <f t="shared" si="104"/>
        <v>87807.84599999999</v>
      </c>
      <c r="BB49" s="93">
        <v>144539.03099999999</v>
      </c>
      <c r="BC49" s="93">
        <v>134379.65300000002</v>
      </c>
      <c r="BD49" s="93">
        <v>88401.054999999993</v>
      </c>
      <c r="BE49" s="93">
        <v>62381.33</v>
      </c>
      <c r="BF49" s="333">
        <v>82604.638999999996</v>
      </c>
      <c r="BG49" s="333">
        <v>40109.925000000003</v>
      </c>
      <c r="BH49" s="333">
        <v>72106.199999999983</v>
      </c>
      <c r="BI49" s="333">
        <v>140484.652</v>
      </c>
      <c r="BJ49" s="333">
        <v>135827.09700000001</v>
      </c>
      <c r="BK49" s="333">
        <v>167295.93300000002</v>
      </c>
      <c r="BL49" s="333">
        <v>158927.93400000001</v>
      </c>
      <c r="BM49" s="333">
        <v>204333.60800000001</v>
      </c>
      <c r="BN49" s="333">
        <v>176862.63199999998</v>
      </c>
      <c r="BO49" s="333">
        <v>186913.671</v>
      </c>
      <c r="BP49" s="333">
        <v>13791.404</v>
      </c>
      <c r="BQ49" s="333">
        <v>13196.448</v>
      </c>
      <c r="BR49" s="333">
        <v>9305.3420000000006</v>
      </c>
      <c r="BS49" s="333">
        <v>13310.303999999998</v>
      </c>
      <c r="BT49" s="333">
        <v>16717.191999999999</v>
      </c>
      <c r="BU49" s="333">
        <v>16164.270999999999</v>
      </c>
      <c r="BV49" s="333">
        <v>13731.952000000001</v>
      </c>
      <c r="BW49" s="333">
        <v>13399.790999999999</v>
      </c>
      <c r="BX49" s="333">
        <v>15519.436000000002</v>
      </c>
      <c r="BY49" s="333">
        <v>17916.911</v>
      </c>
      <c r="BZ49" s="333">
        <v>17497.482</v>
      </c>
      <c r="CA49" s="333">
        <v>176862.63199999998</v>
      </c>
      <c r="CB49" s="333">
        <f t="shared" ref="CB49" si="105">SUM(CB51:CB59)</f>
        <v>337394.91499999998</v>
      </c>
      <c r="CC49" s="333">
        <f t="shared" ref="CC49:CN49" si="106">SUM(CC51:CC59)</f>
        <v>11778.706</v>
      </c>
      <c r="CD49" s="333">
        <f t="shared" si="106"/>
        <v>9862.74</v>
      </c>
      <c r="CE49" s="333">
        <f t="shared" si="106"/>
        <v>8532.4</v>
      </c>
      <c r="CF49" s="333">
        <f t="shared" si="106"/>
        <v>9236.4750000000004</v>
      </c>
      <c r="CG49" s="333">
        <f t="shared" si="106"/>
        <v>9401.02</v>
      </c>
      <c r="CH49" s="333">
        <f t="shared" si="106"/>
        <v>7957.5039999999999</v>
      </c>
      <c r="CI49" s="333">
        <f t="shared" si="106"/>
        <v>8461.1450000000004</v>
      </c>
      <c r="CJ49" s="333">
        <f t="shared" si="106"/>
        <v>17269.460999999999</v>
      </c>
      <c r="CK49" s="333">
        <f t="shared" si="106"/>
        <v>11571.039000000001</v>
      </c>
      <c r="CL49" s="333">
        <f t="shared" si="106"/>
        <v>18315.525000000001</v>
      </c>
      <c r="CM49" s="333">
        <f t="shared" si="106"/>
        <v>15666.991999999998</v>
      </c>
      <c r="CN49" s="333">
        <f t="shared" si="106"/>
        <v>16486.023999999998</v>
      </c>
      <c r="CO49" s="333">
        <f>SUM(CO56:CO59)</f>
        <v>144539.03099999999</v>
      </c>
      <c r="CP49" s="333">
        <f>SUM(CP56:CP59)</f>
        <v>16725.902999999998</v>
      </c>
      <c r="CQ49" s="333">
        <f t="shared" ref="CQ49:DB49" si="107">SUM(CQ56:CQ59)</f>
        <v>12632.644999999999</v>
      </c>
      <c r="CR49" s="333">
        <f t="shared" si="107"/>
        <v>14821.028</v>
      </c>
      <c r="CS49" s="333">
        <f t="shared" si="107"/>
        <v>11907.169</v>
      </c>
      <c r="CT49" s="333">
        <f t="shared" si="107"/>
        <v>7984.49</v>
      </c>
      <c r="CU49" s="333">
        <f t="shared" si="107"/>
        <v>10807.916000000001</v>
      </c>
      <c r="CV49" s="333">
        <f t="shared" si="107"/>
        <v>15713.560000000001</v>
      </c>
      <c r="CW49" s="333">
        <f t="shared" si="107"/>
        <v>8290.2649999999994</v>
      </c>
      <c r="CX49" s="333">
        <f t="shared" si="107"/>
        <v>10300.486000000001</v>
      </c>
      <c r="CY49" s="333">
        <f t="shared" si="107"/>
        <v>8082.5630000000001</v>
      </c>
      <c r="CZ49" s="333">
        <f t="shared" si="107"/>
        <v>7627.5980000000009</v>
      </c>
      <c r="DA49" s="333">
        <f t="shared" si="107"/>
        <v>9486.0299999999988</v>
      </c>
      <c r="DB49" s="333">
        <f t="shared" si="107"/>
        <v>134379.65300000002</v>
      </c>
      <c r="DC49" s="333">
        <f t="shared" ref="DC49:EA49" si="108">SUM(DC56:DC59)</f>
        <v>7892.1670000000004</v>
      </c>
      <c r="DD49" s="333">
        <f t="shared" si="108"/>
        <v>6923.402</v>
      </c>
      <c r="DE49" s="333">
        <f t="shared" si="108"/>
        <v>7656.9330000000009</v>
      </c>
      <c r="DF49" s="333">
        <f t="shared" si="108"/>
        <v>12821.103999999999</v>
      </c>
      <c r="DG49" s="333">
        <f t="shared" si="108"/>
        <v>8156.969000000001</v>
      </c>
      <c r="DH49" s="333">
        <f t="shared" si="108"/>
        <v>8688.9369999999999</v>
      </c>
      <c r="DI49" s="333">
        <f t="shared" si="108"/>
        <v>7522.7420000000002</v>
      </c>
      <c r="DJ49" s="333">
        <f t="shared" si="108"/>
        <v>8296.0329999999994</v>
      </c>
      <c r="DK49" s="333">
        <f t="shared" si="108"/>
        <v>4090.8600000000006</v>
      </c>
      <c r="DL49" s="333">
        <f t="shared" si="108"/>
        <v>6790.866</v>
      </c>
      <c r="DM49" s="333">
        <f t="shared" si="108"/>
        <v>3966.1550000000002</v>
      </c>
      <c r="DN49" s="333">
        <f t="shared" si="108"/>
        <v>5594.8869999999988</v>
      </c>
      <c r="DO49" s="333">
        <f>SUM(DO56:DO59)</f>
        <v>88401.054999999993</v>
      </c>
      <c r="DP49" s="333">
        <f t="shared" si="108"/>
        <v>3083.6260000000002</v>
      </c>
      <c r="DQ49" s="333">
        <f t="shared" si="108"/>
        <v>6007.494999999999</v>
      </c>
      <c r="DR49" s="333">
        <f t="shared" si="108"/>
        <v>4559.7619999999997</v>
      </c>
      <c r="DS49" s="333">
        <f t="shared" si="108"/>
        <v>3616.0120000000006</v>
      </c>
      <c r="DT49" s="333">
        <f t="shared" si="108"/>
        <v>6212.4839999999995</v>
      </c>
      <c r="DU49" s="333">
        <f t="shared" si="108"/>
        <v>5711.0310000000009</v>
      </c>
      <c r="DV49" s="333">
        <f t="shared" si="108"/>
        <v>4516.5339999999997</v>
      </c>
      <c r="DW49" s="333">
        <f t="shared" si="108"/>
        <v>9217.8410000000003</v>
      </c>
      <c r="DX49" s="333">
        <f t="shared" si="108"/>
        <v>5292.3380000000006</v>
      </c>
      <c r="DY49" s="333">
        <f t="shared" si="108"/>
        <v>3505.9790000000007</v>
      </c>
      <c r="DZ49" s="333">
        <f t="shared" si="108"/>
        <v>4010.451</v>
      </c>
      <c r="EA49" s="333">
        <f t="shared" si="108"/>
        <v>6647.777</v>
      </c>
      <c r="EB49" s="333">
        <f t="shared" ref="EB49:EK49" si="109">SUM(EB56:EB59)</f>
        <v>62381.33</v>
      </c>
      <c r="EC49" s="333">
        <f t="shared" si="109"/>
        <v>4537.1909999999998</v>
      </c>
      <c r="ED49" s="333">
        <f t="shared" si="109"/>
        <v>5561.1419999999998</v>
      </c>
      <c r="EE49" s="333">
        <f t="shared" si="109"/>
        <v>6146.509</v>
      </c>
      <c r="EF49" s="333">
        <f t="shared" si="109"/>
        <v>4100.954999999999</v>
      </c>
      <c r="EG49" s="333">
        <f t="shared" si="109"/>
        <v>5757.1989999999996</v>
      </c>
      <c r="EH49" s="333">
        <f t="shared" si="109"/>
        <v>7040.0880000000006</v>
      </c>
      <c r="EI49" s="333">
        <f t="shared" si="109"/>
        <v>7358.26</v>
      </c>
      <c r="EJ49" s="333">
        <f t="shared" si="109"/>
        <v>9566.7400000000016</v>
      </c>
      <c r="EK49" s="333">
        <f t="shared" si="109"/>
        <v>7579.2129999999997</v>
      </c>
      <c r="EL49" s="333">
        <f t="shared" ref="EL49:FN49" si="110">SUM(EL56:EL59)</f>
        <v>9525.4120000000003</v>
      </c>
      <c r="EM49" s="333">
        <f t="shared" si="110"/>
        <v>8348.4259999999995</v>
      </c>
      <c r="EN49" s="333">
        <f t="shared" si="110"/>
        <v>7083.5040000000008</v>
      </c>
      <c r="EO49" s="333">
        <f t="shared" si="110"/>
        <v>82604.638999999996</v>
      </c>
      <c r="EP49" s="333">
        <f t="shared" si="110"/>
        <v>4329.0479999999989</v>
      </c>
      <c r="EQ49" s="333">
        <f t="shared" si="110"/>
        <v>3899.5549999999998</v>
      </c>
      <c r="ER49" s="333">
        <f t="shared" si="110"/>
        <v>4451.4380000000001</v>
      </c>
      <c r="ES49" s="333">
        <f t="shared" si="110"/>
        <v>2362.6579999999999</v>
      </c>
      <c r="ET49" s="333">
        <f t="shared" si="110"/>
        <v>2520.6350000000002</v>
      </c>
      <c r="EU49" s="333">
        <f t="shared" si="110"/>
        <v>2306.5010000000002</v>
      </c>
      <c r="EV49" s="333">
        <f t="shared" si="110"/>
        <v>2593.9359999999997</v>
      </c>
      <c r="EW49" s="333">
        <f t="shared" si="110"/>
        <v>2343.9709999999995</v>
      </c>
      <c r="EX49" s="333">
        <f t="shared" si="110"/>
        <v>5050.8680000000004</v>
      </c>
      <c r="EY49" s="333">
        <f t="shared" si="110"/>
        <v>2518.46</v>
      </c>
      <c r="EZ49" s="333">
        <f t="shared" si="110"/>
        <v>4633.3899999999994</v>
      </c>
      <c r="FA49" s="333">
        <f t="shared" si="110"/>
        <v>3099.4649999999997</v>
      </c>
      <c r="FB49" s="333">
        <f t="shared" si="110"/>
        <v>40109.925000000003</v>
      </c>
      <c r="FC49" s="333">
        <f t="shared" si="110"/>
        <v>3237.2049999999999</v>
      </c>
      <c r="FD49" s="333">
        <f t="shared" si="110"/>
        <v>2665.7329999999997</v>
      </c>
      <c r="FE49" s="333">
        <f t="shared" si="110"/>
        <v>3420.0110000000004</v>
      </c>
      <c r="FF49" s="333">
        <f t="shared" si="110"/>
        <v>3122.3429999999998</v>
      </c>
      <c r="FG49" s="333">
        <f t="shared" si="110"/>
        <v>2424.6299999999997</v>
      </c>
      <c r="FH49" s="333">
        <f t="shared" si="110"/>
        <v>5425.4459999999999</v>
      </c>
      <c r="FI49" s="333">
        <f t="shared" si="110"/>
        <v>8022.8899999999994</v>
      </c>
      <c r="FJ49" s="333">
        <f t="shared" si="110"/>
        <v>5177.9880000000003</v>
      </c>
      <c r="FK49" s="333">
        <f t="shared" si="110"/>
        <v>9034.0819999999985</v>
      </c>
      <c r="FL49" s="333">
        <f t="shared" si="110"/>
        <v>10539.957999999999</v>
      </c>
      <c r="FM49" s="333">
        <f t="shared" si="110"/>
        <v>9429.7109999999993</v>
      </c>
      <c r="FN49" s="333">
        <f t="shared" si="110"/>
        <v>9606.2029999999995</v>
      </c>
      <c r="FO49" s="333">
        <f t="shared" ref="FO49:GN49" si="111">SUM(FO56:FO59)</f>
        <v>72106.199999999983</v>
      </c>
      <c r="FP49" s="333">
        <f t="shared" si="111"/>
        <v>7042.3090000000002</v>
      </c>
      <c r="FQ49" s="333">
        <f t="shared" si="111"/>
        <v>9899.2479999999996</v>
      </c>
      <c r="FR49" s="333">
        <f t="shared" si="111"/>
        <v>11208.875</v>
      </c>
      <c r="FS49" s="333">
        <f t="shared" si="111"/>
        <v>9150.0579999999991</v>
      </c>
      <c r="FT49" s="333">
        <f t="shared" si="111"/>
        <v>6933.8760000000002</v>
      </c>
      <c r="FU49" s="333">
        <f t="shared" si="111"/>
        <v>9777.8459999999995</v>
      </c>
      <c r="FV49" s="333">
        <f t="shared" si="111"/>
        <v>13040.393999999998</v>
      </c>
      <c r="FW49" s="333">
        <f t="shared" si="111"/>
        <v>14054.881999999998</v>
      </c>
      <c r="FX49" s="333">
        <f t="shared" si="111"/>
        <v>11830.180999999999</v>
      </c>
      <c r="FY49" s="333">
        <f t="shared" si="111"/>
        <v>15654.092999999999</v>
      </c>
      <c r="FZ49" s="333">
        <f t="shared" si="111"/>
        <v>15144.949000000001</v>
      </c>
      <c r="GA49" s="333">
        <f t="shared" si="111"/>
        <v>16747.941000000003</v>
      </c>
      <c r="GB49" s="333">
        <f t="shared" si="111"/>
        <v>140484.652</v>
      </c>
      <c r="GC49" s="333">
        <f t="shared" si="111"/>
        <v>11217.366</v>
      </c>
      <c r="GD49" s="333">
        <f t="shared" si="111"/>
        <v>8112.5060000000003</v>
      </c>
      <c r="GE49" s="333">
        <f t="shared" si="111"/>
        <v>8113.3480000000009</v>
      </c>
      <c r="GF49" s="333">
        <f t="shared" si="111"/>
        <v>9640.0600000000013</v>
      </c>
      <c r="GG49" s="333">
        <f t="shared" si="111"/>
        <v>8691.4119999999984</v>
      </c>
      <c r="GH49" s="333">
        <f t="shared" si="111"/>
        <v>12428.067999999999</v>
      </c>
      <c r="GI49" s="333">
        <f t="shared" si="111"/>
        <v>12543.828000000001</v>
      </c>
      <c r="GJ49" s="333">
        <f t="shared" si="111"/>
        <v>13857.613999999998</v>
      </c>
      <c r="GK49" s="333">
        <f t="shared" si="111"/>
        <v>11711.517999999998</v>
      </c>
      <c r="GL49" s="333">
        <f t="shared" si="111"/>
        <v>12013.014999999999</v>
      </c>
      <c r="GM49" s="333">
        <f t="shared" si="111"/>
        <v>15243.399000000001</v>
      </c>
      <c r="GN49" s="333">
        <f t="shared" si="111"/>
        <v>12254.963</v>
      </c>
      <c r="GO49" s="333">
        <f>SUM(GO56:GO59)</f>
        <v>135827.09700000001</v>
      </c>
      <c r="GP49" s="333">
        <f>SUM(GP56:GP59)</f>
        <v>12740.542000000001</v>
      </c>
      <c r="GQ49" s="333">
        <f>SUM(GQ56:GQ59)</f>
        <v>17846.471000000001</v>
      </c>
      <c r="GR49" s="333">
        <f t="shared" ref="GR49:GZ49" si="112">SUM(GR56:GR59)</f>
        <v>14158.941999999999</v>
      </c>
      <c r="GS49" s="333">
        <f t="shared" si="112"/>
        <v>16883.272000000001</v>
      </c>
      <c r="GT49" s="333">
        <f t="shared" si="112"/>
        <v>11951.697</v>
      </c>
      <c r="GU49" s="333">
        <f t="shared" si="112"/>
        <v>11346.032000000001</v>
      </c>
      <c r="GV49" s="333">
        <f t="shared" si="112"/>
        <v>13784.865</v>
      </c>
      <c r="GW49" s="333">
        <f t="shared" si="112"/>
        <v>12998.858999999999</v>
      </c>
      <c r="GX49" s="333">
        <f t="shared" si="112"/>
        <v>13509.475999999999</v>
      </c>
      <c r="GY49" s="333">
        <f t="shared" si="112"/>
        <v>14832.517999999998</v>
      </c>
      <c r="GZ49" s="333">
        <f t="shared" si="112"/>
        <v>13095.476000000001</v>
      </c>
      <c r="HA49" s="333">
        <f>SUM(HA51:HA59)</f>
        <v>14147.782999999999</v>
      </c>
      <c r="HB49" s="333">
        <f>SUM(HB56:HB59)</f>
        <v>16110.105</v>
      </c>
      <c r="HC49" s="333">
        <f>SUM(HC52:HC59)</f>
        <v>12680.194000000001</v>
      </c>
      <c r="HD49" s="333">
        <f>SUM(HD52:HD59)</f>
        <v>19907.429000000004</v>
      </c>
      <c r="HE49" s="333">
        <f>SUM(HE50:HE59)</f>
        <v>6467.0930000000017</v>
      </c>
      <c r="HF49" s="333">
        <f>SUM(HF56:HF59)</f>
        <v>10334.145</v>
      </c>
      <c r="HG49" s="333">
        <f>SUM(HG56:HG59)</f>
        <v>12682.66</v>
      </c>
      <c r="HH49" s="333">
        <f t="shared" ref="HH49" si="113">SUM(HH56:HH59)</f>
        <v>11461.540999999999</v>
      </c>
      <c r="HI49" s="333">
        <f>SUM(HI52:HI59)</f>
        <v>11928.264000000001</v>
      </c>
      <c r="HJ49" s="333">
        <f t="shared" ref="HJ49:HM49" si="114">SUM(HJ51:HJ59)</f>
        <v>15726.149000000001</v>
      </c>
      <c r="HK49" s="333">
        <f t="shared" si="114"/>
        <v>12035.733</v>
      </c>
      <c r="HL49" s="333">
        <f t="shared" si="114"/>
        <v>13960.414999999999</v>
      </c>
      <c r="HM49" s="333">
        <f t="shared" si="114"/>
        <v>15634.206</v>
      </c>
      <c r="HN49" s="333">
        <f>SUM(HB49:HM49)</f>
        <v>158927.93400000001</v>
      </c>
      <c r="HO49" s="333">
        <f>SUM(HO51:HO59)</f>
        <v>12176.732999999998</v>
      </c>
      <c r="HP49" s="333">
        <f t="shared" ref="HP49:HS49" si="115">SUM(HP51:HP59)</f>
        <v>17721.768</v>
      </c>
      <c r="HQ49" s="333">
        <f t="shared" si="115"/>
        <v>20100.092000000001</v>
      </c>
      <c r="HR49" s="333">
        <f t="shared" si="115"/>
        <v>17483.713000000003</v>
      </c>
      <c r="HS49" s="333">
        <f t="shared" si="115"/>
        <v>17951.008000000002</v>
      </c>
      <c r="HT49" s="333">
        <f>SUM(HT51:HT59)</f>
        <v>15728.456999999999</v>
      </c>
      <c r="HU49" s="408">
        <f>SUM(HU51:HU59)</f>
        <v>14707.064999999999</v>
      </c>
      <c r="HV49" s="333">
        <f>SUM(HV51:HV59)</f>
        <v>15425.933000000001</v>
      </c>
      <c r="HW49" s="333">
        <f>HW51+HW52+HW53+HW54+HW55+HW56+HW57+HW58+HW59</f>
        <v>19059.281000000003</v>
      </c>
      <c r="HX49" s="333">
        <f>HX51+HX52+HX53+HX54+HX55+HX56+HX57+HX58+HX59</f>
        <v>15481.644</v>
      </c>
      <c r="HY49" s="333">
        <f>HY51+HY52+HY53+HY54+HY55+HY56+HY57+HY58+HY59</f>
        <v>21607.958999999999</v>
      </c>
      <c r="HZ49" s="408">
        <f>HZ51+HZ52+HZ53+HZ54+HZ55+HZ56+HZ57+HZ58+HZ59</f>
        <v>16889.955000000002</v>
      </c>
      <c r="IA49" s="333">
        <v>16312.098999999998</v>
      </c>
      <c r="IB49" s="333">
        <f t="shared" ref="IB49:II49" si="116">IB51+IB52+IB53+IB54+IB55+IB56+IB57+IB58+IB59</f>
        <v>13791.404</v>
      </c>
      <c r="IC49" s="333">
        <f t="shared" si="116"/>
        <v>13196.448</v>
      </c>
      <c r="ID49" s="333">
        <f t="shared" si="116"/>
        <v>9305.3420000000006</v>
      </c>
      <c r="IE49" s="333">
        <f t="shared" si="116"/>
        <v>13310.303999999998</v>
      </c>
      <c r="IF49" s="333">
        <f t="shared" si="116"/>
        <v>16717.191999999999</v>
      </c>
      <c r="IG49" s="408">
        <f t="shared" si="116"/>
        <v>16164.270999999999</v>
      </c>
      <c r="IH49" s="333">
        <f t="shared" si="116"/>
        <v>13731.952000000001</v>
      </c>
      <c r="II49" s="442">
        <f t="shared" si="116"/>
        <v>13399.790999999999</v>
      </c>
      <c r="IJ49" s="442">
        <f t="shared" ref="IJ49:IT49" si="117">IJ51+IJ52+IJ53+IJ54+IJ55+IJ56+IJ57+IJ58+IJ59</f>
        <v>15519.436000000002</v>
      </c>
      <c r="IK49" s="442">
        <f t="shared" si="117"/>
        <v>17916.911</v>
      </c>
      <c r="IL49" s="442">
        <f t="shared" si="117"/>
        <v>17497.482</v>
      </c>
      <c r="IM49" s="442">
        <f t="shared" si="117"/>
        <v>16133.592000000001</v>
      </c>
      <c r="IN49" s="442">
        <f t="shared" si="117"/>
        <v>11013.325999999999</v>
      </c>
      <c r="IO49" s="442">
        <f t="shared" si="117"/>
        <v>16538.506999999998</v>
      </c>
      <c r="IP49" s="442">
        <f t="shared" si="117"/>
        <v>19484.584999999999</v>
      </c>
      <c r="IQ49" s="442">
        <f t="shared" si="117"/>
        <v>17845.623</v>
      </c>
      <c r="IR49" s="442">
        <f t="shared" si="117"/>
        <v>11898.502</v>
      </c>
      <c r="IS49" s="333">
        <f t="shared" si="117"/>
        <v>13858.184000000001</v>
      </c>
      <c r="IT49" s="333">
        <f t="shared" si="117"/>
        <v>14261.752</v>
      </c>
      <c r="IU49" s="333">
        <f>IU51+IU52+IU53+IU54+IU55+IU56+IU57+IU58+IU59</f>
        <v>11568.185000000001</v>
      </c>
      <c r="IV49" s="333">
        <f>IV51+IV52+IV53+IV54+IV55+IV56+IV57+IV58+IV59</f>
        <v>20662.41</v>
      </c>
      <c r="IW49" s="333">
        <f>IW51+IW52+IW53+IW54+IW55+IW56+IW57+IW58+IW59</f>
        <v>25507.536999999997</v>
      </c>
      <c r="IX49" s="333">
        <f>IX51+IX52+IX53+IX54+IX55+IX56+IX57+IX58+IX59</f>
        <v>36690.429000000004</v>
      </c>
      <c r="IY49" s="333">
        <f>IY51+IY52+IY53+IY54+IY55+IY56+IY57+IY58+IY59</f>
        <v>24993.748</v>
      </c>
      <c r="IZ49" s="333">
        <f>IZ51+IZ52+IZ53+IZ54+IZ55+IZ56+IZ57+IZ58+IZ59</f>
        <v>16014.467999999999</v>
      </c>
      <c r="JA49" s="333"/>
      <c r="JB49" s="333"/>
      <c r="JC49" s="333"/>
      <c r="JD49" s="333"/>
      <c r="JE49" s="333"/>
      <c r="JF49" s="333"/>
      <c r="JG49" s="333"/>
      <c r="JH49" s="333"/>
      <c r="JI49" s="333"/>
      <c r="JJ49" s="333"/>
      <c r="JK49" s="408">
        <f>+JK51+JK52+JK53+JK54+JK55+JK56+JK57+JK58+JK59</f>
        <v>27146.917999999998</v>
      </c>
      <c r="JL49" s="408">
        <f>+JL51+JL52+JL53+JL54+JL55+JL56+JL57+JL58+JL59</f>
        <v>41008.216</v>
      </c>
      <c r="JM49" s="305"/>
      <c r="JN49" s="305"/>
      <c r="JO49" s="305"/>
      <c r="JP49" s="305"/>
      <c r="JQ49" s="305"/>
      <c r="JR49" s="305"/>
      <c r="JS49" s="305"/>
      <c r="JT49" s="304"/>
      <c r="JU49" s="306"/>
    </row>
    <row r="50" spans="1:281" x14ac:dyDescent="0.25">
      <c r="A50" s="55"/>
      <c r="B50" s="34"/>
      <c r="C50" s="34"/>
      <c r="D50" s="34"/>
      <c r="E50" s="79"/>
      <c r="F50" s="79"/>
      <c r="G50" s="79"/>
      <c r="H50" s="79"/>
      <c r="I50" s="79"/>
      <c r="J50" s="79"/>
      <c r="K50" s="79"/>
      <c r="L50" s="79"/>
      <c r="M50" s="112" t="s">
        <v>27</v>
      </c>
      <c r="N50" s="97" t="s">
        <v>27</v>
      </c>
      <c r="O50" s="98" t="s">
        <v>27</v>
      </c>
      <c r="P50" s="92"/>
      <c r="Q50" s="93"/>
      <c r="R50" s="93"/>
      <c r="S50" s="92"/>
      <c r="T50" s="92"/>
      <c r="U50" s="69"/>
      <c r="V50" s="69"/>
      <c r="W50" s="93"/>
      <c r="X50" s="93"/>
      <c r="Y50" s="94"/>
      <c r="Z50" s="93"/>
      <c r="AA50" s="93"/>
      <c r="AB50" s="93"/>
      <c r="AC50" s="94"/>
      <c r="AD50" s="93"/>
      <c r="AE50" s="94"/>
      <c r="AF50" s="93"/>
      <c r="AG50" s="93"/>
      <c r="AH50" s="94"/>
      <c r="AI50" s="94"/>
      <c r="AJ50" s="94"/>
      <c r="AK50" s="94"/>
      <c r="AL50" s="94"/>
      <c r="AM50" s="94"/>
      <c r="AN50" s="95"/>
      <c r="AO50" s="95"/>
      <c r="AP50" s="69"/>
      <c r="AQ50" s="95"/>
      <c r="AR50" s="101"/>
      <c r="AS50" s="69"/>
      <c r="AT50" s="69"/>
      <c r="AU50" s="95"/>
      <c r="AV50" s="69"/>
      <c r="AW50" s="69"/>
      <c r="AX50" s="95"/>
      <c r="AY50" s="93"/>
      <c r="AZ50" s="105"/>
      <c r="BA50" s="105"/>
      <c r="BB50" s="105"/>
      <c r="BC50" s="105"/>
      <c r="BD50" s="105"/>
      <c r="BE50" s="105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333"/>
      <c r="HO50" s="333"/>
      <c r="HP50" s="333"/>
      <c r="HQ50" s="333"/>
      <c r="HR50" s="333"/>
      <c r="HS50" s="191"/>
      <c r="HT50" s="191"/>
      <c r="HU50" s="410"/>
      <c r="HV50" s="376"/>
      <c r="HW50" s="376"/>
      <c r="HX50" s="376"/>
      <c r="HY50" s="376"/>
      <c r="HZ50" s="409"/>
      <c r="IA50" s="392"/>
      <c r="IB50" s="392"/>
      <c r="IC50" s="392"/>
      <c r="ID50" s="392"/>
      <c r="IE50" s="392"/>
      <c r="IF50" s="392"/>
      <c r="IG50" s="436"/>
      <c r="IH50" s="436"/>
      <c r="II50" s="436"/>
      <c r="IJ50" s="436"/>
      <c r="IK50" s="436"/>
      <c r="IL50" s="436"/>
      <c r="IM50" s="436"/>
      <c r="IN50" s="436"/>
      <c r="IO50" s="436"/>
      <c r="IP50" s="436"/>
      <c r="IQ50" s="436"/>
      <c r="IR50" s="436"/>
      <c r="IS50" s="436"/>
      <c r="IT50" s="436"/>
      <c r="IU50" s="436"/>
      <c r="IV50" s="436"/>
      <c r="IW50" s="436"/>
      <c r="IX50" s="436"/>
      <c r="IY50" s="436"/>
      <c r="IZ50" s="436"/>
      <c r="JA50" s="436"/>
      <c r="JB50" s="436"/>
      <c r="JC50" s="436"/>
      <c r="JD50" s="436"/>
      <c r="JE50" s="436"/>
      <c r="JF50" s="436"/>
      <c r="JG50" s="436"/>
      <c r="JH50" s="436"/>
      <c r="JI50" s="436"/>
      <c r="JJ50" s="436"/>
      <c r="JK50" s="408"/>
      <c r="JL50" s="436"/>
      <c r="JM50" s="9"/>
      <c r="JN50" s="9"/>
      <c r="JO50" s="9"/>
      <c r="JP50" s="9"/>
      <c r="JQ50" s="9"/>
      <c r="JR50" s="9"/>
      <c r="JS50" s="9"/>
      <c r="JT50" s="9"/>
      <c r="JU50" s="9"/>
    </row>
    <row r="51" spans="1:281" x14ac:dyDescent="0.25">
      <c r="A51" s="91" t="s">
        <v>55</v>
      </c>
      <c r="B51" s="34"/>
      <c r="C51" s="34"/>
      <c r="D51" s="34"/>
      <c r="E51" s="79">
        <v>5</v>
      </c>
      <c r="F51" s="79">
        <v>19</v>
      </c>
      <c r="G51" s="79">
        <v>21</v>
      </c>
      <c r="H51" s="79">
        <v>72</v>
      </c>
      <c r="I51" s="79">
        <v>5</v>
      </c>
      <c r="J51" s="106" t="s">
        <v>29</v>
      </c>
      <c r="K51" s="79">
        <v>16</v>
      </c>
      <c r="L51" s="79">
        <v>94</v>
      </c>
      <c r="M51" s="79">
        <v>15</v>
      </c>
      <c r="N51" s="92">
        <v>6</v>
      </c>
      <c r="O51" s="93">
        <v>4</v>
      </c>
      <c r="P51" s="101" t="s">
        <v>80</v>
      </c>
      <c r="Q51" s="101" t="s">
        <v>80</v>
      </c>
      <c r="R51" s="101" t="s">
        <v>80</v>
      </c>
      <c r="S51" s="102" t="s">
        <v>29</v>
      </c>
      <c r="T51" s="102" t="s">
        <v>29</v>
      </c>
      <c r="U51" s="103" t="s">
        <v>66</v>
      </c>
      <c r="V51" s="101" t="s">
        <v>29</v>
      </c>
      <c r="W51" s="103" t="s">
        <v>80</v>
      </c>
      <c r="X51" s="107" t="s">
        <v>29</v>
      </c>
      <c r="Y51" s="115" t="s">
        <v>29</v>
      </c>
      <c r="Z51" s="107" t="s">
        <v>29</v>
      </c>
      <c r="AA51" s="107" t="s">
        <v>29</v>
      </c>
      <c r="AB51" s="103" t="s">
        <v>80</v>
      </c>
      <c r="AC51" s="103" t="s">
        <v>80</v>
      </c>
      <c r="AD51" s="104" t="s">
        <v>29</v>
      </c>
      <c r="AE51" s="108" t="s">
        <v>80</v>
      </c>
      <c r="AF51" s="105" t="s">
        <v>29</v>
      </c>
      <c r="AG51" s="105" t="s">
        <v>29</v>
      </c>
      <c r="AH51" s="105" t="s">
        <v>29</v>
      </c>
      <c r="AI51" s="101" t="s">
        <v>29</v>
      </c>
      <c r="AJ51" s="101" t="s">
        <v>29</v>
      </c>
      <c r="AK51" s="101" t="s">
        <v>29</v>
      </c>
      <c r="AL51" s="101" t="s">
        <v>29</v>
      </c>
      <c r="AM51" s="101">
        <v>58.84</v>
      </c>
      <c r="AN51" s="101" t="s">
        <v>29</v>
      </c>
      <c r="AO51" s="101" t="s">
        <v>29</v>
      </c>
      <c r="AP51" s="101" t="s">
        <v>29</v>
      </c>
      <c r="AQ51" s="101" t="s">
        <v>29</v>
      </c>
      <c r="AR51" s="101">
        <v>15.6</v>
      </c>
      <c r="AS51" s="101" t="s">
        <v>29</v>
      </c>
      <c r="AT51" s="101">
        <v>9.85</v>
      </c>
      <c r="AU51" s="101" t="s">
        <v>29</v>
      </c>
      <c r="AV51" s="101" t="s">
        <v>29</v>
      </c>
      <c r="AW51" s="101">
        <v>7.82</v>
      </c>
      <c r="AX51" s="101">
        <v>18.850000000000001</v>
      </c>
      <c r="AY51" s="101">
        <v>6.72</v>
      </c>
      <c r="AZ51" s="69">
        <f>SUM(AN51:AY51)</f>
        <v>58.839999999999996</v>
      </c>
      <c r="BA51" s="69">
        <v>22</v>
      </c>
      <c r="BB51" s="69" t="s">
        <v>29</v>
      </c>
      <c r="BC51" s="69"/>
      <c r="BD51" s="69"/>
      <c r="BE51" s="69"/>
      <c r="BF51" s="191"/>
      <c r="BG51" s="191">
        <v>0</v>
      </c>
      <c r="BH51" s="191">
        <v>0</v>
      </c>
      <c r="BI51" s="191">
        <v>0</v>
      </c>
      <c r="BJ51" s="191">
        <v>0</v>
      </c>
      <c r="BK51" s="191">
        <v>0</v>
      </c>
      <c r="BL51" s="191">
        <v>0</v>
      </c>
      <c r="BM51" s="191">
        <v>17.45</v>
      </c>
      <c r="BN51" s="191">
        <v>0</v>
      </c>
      <c r="BO51" s="191">
        <v>0</v>
      </c>
      <c r="BP51" s="191">
        <v>0</v>
      </c>
      <c r="BQ51" s="191">
        <v>0</v>
      </c>
      <c r="BR51" s="191">
        <v>0</v>
      </c>
      <c r="BS51" s="191">
        <v>0</v>
      </c>
      <c r="BT51" s="191">
        <v>0</v>
      </c>
      <c r="BU51" s="191">
        <v>0</v>
      </c>
      <c r="BV51" s="191">
        <v>0</v>
      </c>
      <c r="BW51" s="191">
        <v>0</v>
      </c>
      <c r="BX51" s="191">
        <v>0</v>
      </c>
      <c r="BY51" s="191">
        <v>0</v>
      </c>
      <c r="BZ51" s="191">
        <v>0</v>
      </c>
      <c r="CA51" s="191">
        <v>0</v>
      </c>
      <c r="CB51" s="191">
        <f t="shared" ref="CB51:CV51" si="118">JV51</f>
        <v>0</v>
      </c>
      <c r="CC51" s="191">
        <f t="shared" si="118"/>
        <v>0</v>
      </c>
      <c r="CD51" s="191">
        <f t="shared" si="118"/>
        <v>0</v>
      </c>
      <c r="CE51" s="191">
        <f t="shared" si="118"/>
        <v>0</v>
      </c>
      <c r="CF51" s="191">
        <f t="shared" si="118"/>
        <v>0</v>
      </c>
      <c r="CG51" s="191">
        <f t="shared" si="118"/>
        <v>0</v>
      </c>
      <c r="CH51" s="191">
        <f t="shared" si="118"/>
        <v>0</v>
      </c>
      <c r="CI51" s="191">
        <f t="shared" si="118"/>
        <v>0</v>
      </c>
      <c r="CJ51" s="191">
        <f t="shared" si="118"/>
        <v>0</v>
      </c>
      <c r="CK51" s="191">
        <f t="shared" si="118"/>
        <v>0</v>
      </c>
      <c r="CL51" s="191">
        <f t="shared" si="118"/>
        <v>0</v>
      </c>
      <c r="CM51" s="191">
        <f t="shared" si="118"/>
        <v>0</v>
      </c>
      <c r="CN51" s="191">
        <f t="shared" si="118"/>
        <v>0</v>
      </c>
      <c r="CO51" s="191">
        <f t="shared" si="118"/>
        <v>0</v>
      </c>
      <c r="CP51" s="191">
        <f t="shared" si="118"/>
        <v>0</v>
      </c>
      <c r="CQ51" s="191">
        <f t="shared" si="118"/>
        <v>0</v>
      </c>
      <c r="CR51" s="191">
        <f t="shared" si="118"/>
        <v>0</v>
      </c>
      <c r="CS51" s="191">
        <f t="shared" si="118"/>
        <v>0</v>
      </c>
      <c r="CT51" s="191">
        <f t="shared" si="118"/>
        <v>0</v>
      </c>
      <c r="CU51" s="191">
        <f t="shared" si="118"/>
        <v>0</v>
      </c>
      <c r="CV51" s="191">
        <f t="shared" si="118"/>
        <v>0</v>
      </c>
      <c r="CW51" s="191">
        <f t="shared" ref="CW51:EA51" si="119">KQ51</f>
        <v>0</v>
      </c>
      <c r="CX51" s="191">
        <f t="shared" si="119"/>
        <v>0</v>
      </c>
      <c r="CY51" s="191">
        <f t="shared" si="119"/>
        <v>0</v>
      </c>
      <c r="CZ51" s="191">
        <f t="shared" si="119"/>
        <v>0</v>
      </c>
      <c r="DA51" s="191">
        <f t="shared" si="119"/>
        <v>0</v>
      </c>
      <c r="DB51" s="191">
        <f t="shared" si="119"/>
        <v>0</v>
      </c>
      <c r="DC51" s="191">
        <f t="shared" si="119"/>
        <v>0</v>
      </c>
      <c r="DD51" s="191">
        <f t="shared" si="119"/>
        <v>0</v>
      </c>
      <c r="DE51" s="191">
        <f t="shared" si="119"/>
        <v>0</v>
      </c>
      <c r="DF51" s="191">
        <f t="shared" si="119"/>
        <v>0</v>
      </c>
      <c r="DG51" s="191">
        <f t="shared" si="119"/>
        <v>0</v>
      </c>
      <c r="DH51" s="191">
        <f t="shared" si="119"/>
        <v>0</v>
      </c>
      <c r="DI51" s="191">
        <f t="shared" si="119"/>
        <v>0</v>
      </c>
      <c r="DJ51" s="191">
        <f t="shared" si="119"/>
        <v>0</v>
      </c>
      <c r="DK51" s="191">
        <f t="shared" si="119"/>
        <v>0</v>
      </c>
      <c r="DL51" s="191">
        <f t="shared" si="119"/>
        <v>0</v>
      </c>
      <c r="DM51" s="191">
        <f t="shared" si="119"/>
        <v>0</v>
      </c>
      <c r="DN51" s="191">
        <f t="shared" si="119"/>
        <v>0</v>
      </c>
      <c r="DO51" s="191">
        <f t="shared" si="119"/>
        <v>0</v>
      </c>
      <c r="DP51" s="191">
        <f t="shared" si="119"/>
        <v>0</v>
      </c>
      <c r="DQ51" s="191">
        <f t="shared" si="119"/>
        <v>0</v>
      </c>
      <c r="DR51" s="191">
        <f t="shared" si="119"/>
        <v>0</v>
      </c>
      <c r="DS51" s="191">
        <f t="shared" si="119"/>
        <v>0</v>
      </c>
      <c r="DT51" s="191">
        <f t="shared" si="119"/>
        <v>0</v>
      </c>
      <c r="DU51" s="191">
        <f t="shared" si="119"/>
        <v>0</v>
      </c>
      <c r="DV51" s="191">
        <f t="shared" si="119"/>
        <v>0</v>
      </c>
      <c r="DW51" s="191">
        <f t="shared" si="119"/>
        <v>0</v>
      </c>
      <c r="DX51" s="191">
        <f t="shared" si="119"/>
        <v>0</v>
      </c>
      <c r="DY51" s="191">
        <f t="shared" si="119"/>
        <v>0</v>
      </c>
      <c r="DZ51" s="191">
        <f t="shared" si="119"/>
        <v>0</v>
      </c>
      <c r="EA51" s="191">
        <f t="shared" si="119"/>
        <v>0</v>
      </c>
      <c r="EB51" s="191">
        <f t="shared" ref="EB51:GM51" si="120">LV51</f>
        <v>0</v>
      </c>
      <c r="EC51" s="191">
        <f t="shared" si="120"/>
        <v>0</v>
      </c>
      <c r="ED51" s="191">
        <f t="shared" si="120"/>
        <v>0</v>
      </c>
      <c r="EE51" s="191">
        <f t="shared" si="120"/>
        <v>0</v>
      </c>
      <c r="EF51" s="191">
        <f t="shared" si="120"/>
        <v>0</v>
      </c>
      <c r="EG51" s="191">
        <f t="shared" si="120"/>
        <v>0</v>
      </c>
      <c r="EH51" s="191">
        <f t="shared" si="120"/>
        <v>0</v>
      </c>
      <c r="EI51" s="191">
        <f t="shared" si="120"/>
        <v>0</v>
      </c>
      <c r="EJ51" s="191">
        <f t="shared" si="120"/>
        <v>0</v>
      </c>
      <c r="EK51" s="191">
        <f t="shared" si="120"/>
        <v>0</v>
      </c>
      <c r="EL51" s="191">
        <f t="shared" si="120"/>
        <v>0</v>
      </c>
      <c r="EM51" s="191">
        <f t="shared" si="120"/>
        <v>0</v>
      </c>
      <c r="EN51" s="191">
        <f t="shared" si="120"/>
        <v>0</v>
      </c>
      <c r="EO51" s="191">
        <f t="shared" si="120"/>
        <v>0</v>
      </c>
      <c r="EP51" s="191">
        <f t="shared" si="120"/>
        <v>0</v>
      </c>
      <c r="EQ51" s="191">
        <f t="shared" si="120"/>
        <v>0</v>
      </c>
      <c r="ER51" s="191">
        <f t="shared" si="120"/>
        <v>0</v>
      </c>
      <c r="ES51" s="191">
        <f t="shared" si="120"/>
        <v>0</v>
      </c>
      <c r="ET51" s="191">
        <f t="shared" si="120"/>
        <v>0</v>
      </c>
      <c r="EU51" s="191">
        <f t="shared" si="120"/>
        <v>0</v>
      </c>
      <c r="EV51" s="191">
        <f t="shared" si="120"/>
        <v>0</v>
      </c>
      <c r="EW51" s="191">
        <f t="shared" si="120"/>
        <v>0</v>
      </c>
      <c r="EX51" s="191">
        <f t="shared" si="120"/>
        <v>0</v>
      </c>
      <c r="EY51" s="191">
        <f t="shared" si="120"/>
        <v>0</v>
      </c>
      <c r="EZ51" s="191">
        <f t="shared" si="120"/>
        <v>0</v>
      </c>
      <c r="FA51" s="191">
        <f t="shared" si="120"/>
        <v>0</v>
      </c>
      <c r="FB51" s="191">
        <f t="shared" si="120"/>
        <v>0</v>
      </c>
      <c r="FC51" s="191">
        <f t="shared" si="120"/>
        <v>0</v>
      </c>
      <c r="FD51" s="191">
        <f t="shared" si="120"/>
        <v>0</v>
      </c>
      <c r="FE51" s="191">
        <f t="shared" si="120"/>
        <v>0</v>
      </c>
      <c r="FF51" s="191">
        <f t="shared" si="120"/>
        <v>0</v>
      </c>
      <c r="FG51" s="191">
        <f t="shared" si="120"/>
        <v>0</v>
      </c>
      <c r="FH51" s="191">
        <f t="shared" si="120"/>
        <v>0</v>
      </c>
      <c r="FI51" s="191">
        <f t="shared" si="120"/>
        <v>0</v>
      </c>
      <c r="FJ51" s="191">
        <f t="shared" si="120"/>
        <v>0</v>
      </c>
      <c r="FK51" s="191">
        <f t="shared" si="120"/>
        <v>0</v>
      </c>
      <c r="FL51" s="191">
        <f t="shared" si="120"/>
        <v>0</v>
      </c>
      <c r="FM51" s="191">
        <f t="shared" si="120"/>
        <v>0</v>
      </c>
      <c r="FN51" s="191">
        <f t="shared" si="120"/>
        <v>0</v>
      </c>
      <c r="FO51" s="191">
        <f t="shared" si="120"/>
        <v>0</v>
      </c>
      <c r="FP51" s="191">
        <f t="shared" si="120"/>
        <v>0</v>
      </c>
      <c r="FQ51" s="191">
        <f t="shared" si="120"/>
        <v>0</v>
      </c>
      <c r="FR51" s="191">
        <f t="shared" si="120"/>
        <v>0</v>
      </c>
      <c r="FS51" s="191">
        <f t="shared" si="120"/>
        <v>0</v>
      </c>
      <c r="FT51" s="191">
        <f t="shared" si="120"/>
        <v>0</v>
      </c>
      <c r="FU51" s="191">
        <f t="shared" si="120"/>
        <v>0</v>
      </c>
      <c r="FV51" s="191">
        <f t="shared" si="120"/>
        <v>0</v>
      </c>
      <c r="FW51" s="191">
        <f t="shared" si="120"/>
        <v>0</v>
      </c>
      <c r="FX51" s="191">
        <f t="shared" si="120"/>
        <v>0</v>
      </c>
      <c r="FY51" s="191">
        <f t="shared" si="120"/>
        <v>0</v>
      </c>
      <c r="FZ51" s="191">
        <f t="shared" si="120"/>
        <v>0</v>
      </c>
      <c r="GA51" s="191">
        <f t="shared" si="120"/>
        <v>0</v>
      </c>
      <c r="GB51" s="191">
        <f t="shared" si="120"/>
        <v>0</v>
      </c>
      <c r="GC51" s="191">
        <f t="shared" si="120"/>
        <v>0</v>
      </c>
      <c r="GD51" s="191">
        <f t="shared" si="120"/>
        <v>0</v>
      </c>
      <c r="GE51" s="191">
        <f t="shared" si="120"/>
        <v>0</v>
      </c>
      <c r="GF51" s="191">
        <f t="shared" si="120"/>
        <v>0</v>
      </c>
      <c r="GG51" s="191">
        <f t="shared" si="120"/>
        <v>0</v>
      </c>
      <c r="GH51" s="191">
        <f t="shared" si="120"/>
        <v>0</v>
      </c>
      <c r="GI51" s="191">
        <f t="shared" si="120"/>
        <v>0</v>
      </c>
      <c r="GJ51" s="191">
        <f t="shared" si="120"/>
        <v>0</v>
      </c>
      <c r="GK51" s="191">
        <f t="shared" si="120"/>
        <v>0</v>
      </c>
      <c r="GL51" s="191">
        <f t="shared" si="120"/>
        <v>0</v>
      </c>
      <c r="GM51" s="191">
        <f t="shared" si="120"/>
        <v>0</v>
      </c>
      <c r="GN51" s="191">
        <f t="shared" ref="GN51:HA51" si="121">OH51</f>
        <v>0</v>
      </c>
      <c r="GO51" s="191">
        <f t="shared" si="121"/>
        <v>0</v>
      </c>
      <c r="GP51" s="191">
        <f t="shared" si="121"/>
        <v>0</v>
      </c>
      <c r="GQ51" s="191">
        <f t="shared" si="121"/>
        <v>0</v>
      </c>
      <c r="GR51" s="191">
        <f t="shared" si="121"/>
        <v>0</v>
      </c>
      <c r="GS51" s="191">
        <f t="shared" si="121"/>
        <v>0</v>
      </c>
      <c r="GT51" s="191">
        <f t="shared" si="121"/>
        <v>0</v>
      </c>
      <c r="GU51" s="191">
        <f t="shared" si="121"/>
        <v>0</v>
      </c>
      <c r="GV51" s="191">
        <f t="shared" si="121"/>
        <v>0</v>
      </c>
      <c r="GW51" s="191">
        <f t="shared" si="121"/>
        <v>0</v>
      </c>
      <c r="GX51" s="191">
        <f t="shared" si="121"/>
        <v>0</v>
      </c>
      <c r="GY51" s="191">
        <f t="shared" si="121"/>
        <v>0</v>
      </c>
      <c r="GZ51" s="191">
        <f t="shared" si="121"/>
        <v>0</v>
      </c>
      <c r="HA51" s="191">
        <f t="shared" si="121"/>
        <v>0</v>
      </c>
      <c r="HB51" s="191">
        <f t="shared" ref="HB51:HH51" si="122">OW51</f>
        <v>0</v>
      </c>
      <c r="HC51" s="191">
        <f t="shared" si="122"/>
        <v>0</v>
      </c>
      <c r="HD51" s="191">
        <f t="shared" si="122"/>
        <v>0</v>
      </c>
      <c r="HE51" s="191">
        <f t="shared" si="122"/>
        <v>0</v>
      </c>
      <c r="HF51" s="191">
        <f t="shared" si="122"/>
        <v>0</v>
      </c>
      <c r="HG51" s="191">
        <f t="shared" si="122"/>
        <v>0</v>
      </c>
      <c r="HH51" s="191">
        <f t="shared" si="122"/>
        <v>0</v>
      </c>
      <c r="HI51" s="191">
        <f t="shared" ref="HI51:HM51" si="123">PD51</f>
        <v>0</v>
      </c>
      <c r="HJ51" s="191">
        <f t="shared" si="123"/>
        <v>0</v>
      </c>
      <c r="HK51" s="191">
        <f t="shared" si="123"/>
        <v>0</v>
      </c>
      <c r="HL51" s="191">
        <f t="shared" si="123"/>
        <v>0</v>
      </c>
      <c r="HM51" s="191">
        <f t="shared" si="123"/>
        <v>0</v>
      </c>
      <c r="HN51" s="191">
        <f t="shared" ref="HN51:HN59" si="124">SUM(HB51:HM51)</f>
        <v>0</v>
      </c>
      <c r="HO51" s="191">
        <f>PJ51</f>
        <v>0</v>
      </c>
      <c r="HP51" s="356">
        <f>PK51</f>
        <v>0</v>
      </c>
      <c r="HQ51" s="356">
        <f>PL51</f>
        <v>0</v>
      </c>
      <c r="HR51" s="356">
        <f t="shared" ref="HR51:HT55" si="125">PM51</f>
        <v>0</v>
      </c>
      <c r="HS51" s="191">
        <v>17.45</v>
      </c>
      <c r="HT51" s="191">
        <v>0</v>
      </c>
      <c r="HU51" s="410">
        <v>0</v>
      </c>
      <c r="HV51" s="191">
        <v>0</v>
      </c>
      <c r="HW51" s="191">
        <v>0</v>
      </c>
      <c r="HX51" s="191">
        <v>0</v>
      </c>
      <c r="HY51" s="191">
        <v>0</v>
      </c>
      <c r="HZ51" s="410">
        <v>0</v>
      </c>
      <c r="IA51" s="191">
        <v>0</v>
      </c>
      <c r="IB51" s="191">
        <v>0</v>
      </c>
      <c r="IC51" s="191">
        <v>0</v>
      </c>
      <c r="ID51" s="191">
        <v>0</v>
      </c>
      <c r="IE51" s="191">
        <v>0</v>
      </c>
      <c r="IF51" s="191">
        <v>0</v>
      </c>
      <c r="IG51" s="410">
        <v>0</v>
      </c>
      <c r="IH51" s="410">
        <v>0</v>
      </c>
      <c r="II51" s="410">
        <v>0</v>
      </c>
      <c r="IJ51" s="410">
        <v>0</v>
      </c>
      <c r="IK51" s="410">
        <v>0</v>
      </c>
      <c r="IL51" s="410">
        <v>0</v>
      </c>
      <c r="IM51" s="410">
        <v>0</v>
      </c>
      <c r="IN51" s="410">
        <v>0</v>
      </c>
      <c r="IO51" s="410">
        <v>0</v>
      </c>
      <c r="IP51" s="410">
        <v>0</v>
      </c>
      <c r="IQ51" s="410">
        <v>0</v>
      </c>
      <c r="IR51" s="410">
        <v>0</v>
      </c>
      <c r="IS51" s="410">
        <v>0</v>
      </c>
      <c r="IT51" s="410">
        <v>0</v>
      </c>
      <c r="IU51" s="410">
        <v>0</v>
      </c>
      <c r="IV51" s="410">
        <v>0</v>
      </c>
      <c r="IW51" s="410">
        <v>0</v>
      </c>
      <c r="IX51" s="410">
        <v>0</v>
      </c>
      <c r="IY51" s="410">
        <v>0</v>
      </c>
      <c r="IZ51" s="410">
        <v>0</v>
      </c>
      <c r="JA51" s="410"/>
      <c r="JB51" s="410"/>
      <c r="JC51" s="410"/>
      <c r="JD51" s="410"/>
      <c r="JE51" s="410"/>
      <c r="JF51" s="410"/>
      <c r="JG51" s="410"/>
      <c r="JH51" s="410"/>
      <c r="JI51" s="410"/>
      <c r="JJ51" s="410"/>
      <c r="JK51" s="410">
        <f>+IM51+IN51</f>
        <v>0</v>
      </c>
      <c r="JL51" s="410">
        <f>+IY51+IZ51</f>
        <v>0</v>
      </c>
      <c r="JM51" s="10"/>
      <c r="JN51" s="10"/>
      <c r="JO51" s="10"/>
      <c r="JP51" s="10"/>
      <c r="JQ51" s="10"/>
      <c r="JR51" s="10"/>
      <c r="JS51" s="10"/>
      <c r="JT51" s="9"/>
      <c r="JU51" s="11"/>
    </row>
    <row r="52" spans="1:281" x14ac:dyDescent="0.25">
      <c r="A52" s="91" t="s">
        <v>56</v>
      </c>
      <c r="B52" s="34"/>
      <c r="C52" s="34"/>
      <c r="D52" s="34"/>
      <c r="E52" s="79">
        <v>75</v>
      </c>
      <c r="F52" s="79">
        <v>81</v>
      </c>
      <c r="G52" s="79">
        <v>32</v>
      </c>
      <c r="H52" s="79">
        <v>19</v>
      </c>
      <c r="I52" s="79">
        <v>16</v>
      </c>
      <c r="J52" s="79">
        <v>4</v>
      </c>
      <c r="K52" s="79">
        <v>37</v>
      </c>
      <c r="L52" s="79">
        <v>40</v>
      </c>
      <c r="M52" s="65" t="s">
        <v>29</v>
      </c>
      <c r="N52" s="102" t="s">
        <v>29</v>
      </c>
      <c r="O52" s="101" t="s">
        <v>29</v>
      </c>
      <c r="P52" s="102" t="s">
        <v>29</v>
      </c>
      <c r="Q52" s="101" t="s">
        <v>29</v>
      </c>
      <c r="R52" s="103" t="s">
        <v>66</v>
      </c>
      <c r="S52" s="102" t="s">
        <v>29</v>
      </c>
      <c r="T52" s="102" t="s">
        <v>29</v>
      </c>
      <c r="U52" s="103" t="s">
        <v>66</v>
      </c>
      <c r="V52" s="101" t="s">
        <v>29</v>
      </c>
      <c r="W52" s="104" t="s">
        <v>29</v>
      </c>
      <c r="X52" s="104" t="s">
        <v>29</v>
      </c>
      <c r="Y52" s="115" t="s">
        <v>29</v>
      </c>
      <c r="Z52" s="104" t="s">
        <v>29</v>
      </c>
      <c r="AA52" s="107" t="s">
        <v>29</v>
      </c>
      <c r="AB52" s="113" t="s">
        <v>29</v>
      </c>
      <c r="AC52" s="111" t="s">
        <v>29</v>
      </c>
      <c r="AD52" s="104" t="s">
        <v>29</v>
      </c>
      <c r="AE52" s="94">
        <f>SUM(S52:Z52)</f>
        <v>0</v>
      </c>
      <c r="AF52" s="93">
        <v>0</v>
      </c>
      <c r="AG52" s="93"/>
      <c r="AH52" s="94"/>
      <c r="AI52" s="94"/>
      <c r="AJ52" s="94"/>
      <c r="AK52" s="101"/>
      <c r="AL52" s="101"/>
      <c r="AM52" s="69">
        <f>SUM(Z52:AK52)</f>
        <v>0</v>
      </c>
      <c r="AN52" s="101"/>
      <c r="AO52" s="101"/>
      <c r="AP52" s="101"/>
      <c r="AQ52" s="101"/>
      <c r="AR52" s="101"/>
      <c r="AS52" s="101" t="s">
        <v>29</v>
      </c>
      <c r="AT52" s="101"/>
      <c r="AU52" s="101" t="s">
        <v>29</v>
      </c>
      <c r="AV52" s="101"/>
      <c r="AW52" s="101"/>
      <c r="AX52" s="69"/>
      <c r="AY52" s="101"/>
      <c r="AZ52" s="69">
        <f>SUM(AN52:AX52)</f>
        <v>0</v>
      </c>
      <c r="BA52" s="69">
        <v>0</v>
      </c>
      <c r="BB52" s="69">
        <v>0</v>
      </c>
      <c r="BC52" s="69"/>
      <c r="BD52" s="69"/>
      <c r="BE52" s="69"/>
      <c r="BF52" s="191"/>
      <c r="BG52" s="191">
        <v>0</v>
      </c>
      <c r="BH52" s="191">
        <v>0</v>
      </c>
      <c r="BI52" s="191">
        <v>0</v>
      </c>
      <c r="BJ52" s="191">
        <v>0</v>
      </c>
      <c r="BK52" s="191">
        <v>0</v>
      </c>
      <c r="BL52" s="191">
        <v>2.6719999999999997</v>
      </c>
      <c r="BM52" s="191">
        <v>7.63</v>
      </c>
      <c r="BN52" s="191">
        <v>18.25</v>
      </c>
      <c r="BO52" s="191">
        <v>2.706</v>
      </c>
      <c r="BP52" s="191">
        <v>0</v>
      </c>
      <c r="BQ52" s="191">
        <v>0</v>
      </c>
      <c r="BR52" s="191">
        <v>0</v>
      </c>
      <c r="BS52" s="191">
        <v>0</v>
      </c>
      <c r="BT52" s="191">
        <v>0</v>
      </c>
      <c r="BU52" s="191">
        <v>0</v>
      </c>
      <c r="BV52" s="191">
        <v>0</v>
      </c>
      <c r="BW52" s="191">
        <v>0</v>
      </c>
      <c r="BX52" s="191">
        <v>0.25</v>
      </c>
      <c r="BY52" s="191">
        <v>0.55000000000000004</v>
      </c>
      <c r="BZ52" s="191">
        <v>0</v>
      </c>
      <c r="CA52" s="191">
        <v>18.25</v>
      </c>
      <c r="CB52" s="191">
        <f>SUM(BP52:BZ52)</f>
        <v>0.8</v>
      </c>
      <c r="CC52" s="191" t="s">
        <v>29</v>
      </c>
      <c r="CD52" s="191" t="s">
        <v>29</v>
      </c>
      <c r="CE52" s="191"/>
      <c r="CF52" s="191"/>
      <c r="CG52" s="191" t="s">
        <v>29</v>
      </c>
      <c r="CH52" s="191"/>
      <c r="CI52" s="191"/>
      <c r="CJ52" s="191"/>
      <c r="CK52" s="191"/>
      <c r="CL52" s="191"/>
      <c r="CM52" s="191"/>
      <c r="CN52" s="191"/>
      <c r="CO52" s="191">
        <f>SUM(CC52:CE52)</f>
        <v>0</v>
      </c>
      <c r="CP52" s="191">
        <v>0</v>
      </c>
      <c r="CQ52" s="191"/>
      <c r="CR52" s="191" t="s">
        <v>29</v>
      </c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>
        <f t="shared" ref="EO52:EO55" si="126">SUM(EC52:EF52)</f>
        <v>0</v>
      </c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>
        <f t="shared" ref="FB52:FB55" si="127">SUM(EO52:ER52)</f>
        <v>0</v>
      </c>
      <c r="FC52" s="191">
        <v>0</v>
      </c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>
        <f>OW52</f>
        <v>0</v>
      </c>
      <c r="HC52" s="191">
        <v>0.35</v>
      </c>
      <c r="HD52" s="191">
        <v>0.45</v>
      </c>
      <c r="HE52" s="191">
        <v>7.0000000000000007E-2</v>
      </c>
      <c r="HF52" s="191">
        <f>PA52</f>
        <v>0</v>
      </c>
      <c r="HG52" s="191">
        <f>PB52</f>
        <v>0</v>
      </c>
      <c r="HH52" s="191">
        <f>PC52</f>
        <v>0</v>
      </c>
      <c r="HI52" s="191">
        <v>0.97199999999999998</v>
      </c>
      <c r="HJ52" s="191">
        <v>0.28000000000000003</v>
      </c>
      <c r="HK52" s="191"/>
      <c r="HL52" s="191">
        <v>0.38</v>
      </c>
      <c r="HM52" s="191">
        <v>0.17</v>
      </c>
      <c r="HN52" s="191">
        <f t="shared" si="124"/>
        <v>2.6719999999999997</v>
      </c>
      <c r="HO52" s="191">
        <v>0.48</v>
      </c>
      <c r="HP52" s="356">
        <f t="shared" ref="HP52:HQ55" si="128">PK52</f>
        <v>0</v>
      </c>
      <c r="HQ52" s="356">
        <f t="shared" si="128"/>
        <v>0</v>
      </c>
      <c r="HR52" s="356">
        <f t="shared" si="125"/>
        <v>0</v>
      </c>
      <c r="HS52" s="356">
        <f t="shared" si="125"/>
        <v>0</v>
      </c>
      <c r="HT52" s="356">
        <f t="shared" si="125"/>
        <v>0</v>
      </c>
      <c r="HU52" s="410">
        <v>0</v>
      </c>
      <c r="HV52" s="191">
        <v>3.9</v>
      </c>
      <c r="HW52" s="191">
        <v>3.25</v>
      </c>
      <c r="HX52" s="191">
        <v>0</v>
      </c>
      <c r="HY52" s="191">
        <v>0</v>
      </c>
      <c r="HZ52" s="410">
        <v>0</v>
      </c>
      <c r="IA52" s="191">
        <v>17.45</v>
      </c>
      <c r="IB52" s="410">
        <v>0</v>
      </c>
      <c r="IC52" s="410">
        <v>0</v>
      </c>
      <c r="ID52" s="191">
        <v>0</v>
      </c>
      <c r="IE52" s="191">
        <v>0</v>
      </c>
      <c r="IF52" s="191">
        <v>0</v>
      </c>
      <c r="IG52" s="410">
        <v>0</v>
      </c>
      <c r="IH52" s="410">
        <v>0</v>
      </c>
      <c r="II52" s="410">
        <v>0</v>
      </c>
      <c r="IJ52" s="410">
        <v>0.25</v>
      </c>
      <c r="IK52" s="410">
        <v>0.55000000000000004</v>
      </c>
      <c r="IL52" s="410">
        <v>0</v>
      </c>
      <c r="IM52" s="410">
        <v>0</v>
      </c>
      <c r="IN52" s="410">
        <v>0</v>
      </c>
      <c r="IO52" s="410">
        <v>1</v>
      </c>
      <c r="IP52" s="410">
        <v>0.97599999999999998</v>
      </c>
      <c r="IQ52" s="410">
        <v>0</v>
      </c>
      <c r="IR52" s="410">
        <v>0</v>
      </c>
      <c r="IS52" s="410">
        <v>0</v>
      </c>
      <c r="IT52" s="410">
        <v>0</v>
      </c>
      <c r="IU52" s="410">
        <v>0</v>
      </c>
      <c r="IV52" s="410">
        <v>0.73</v>
      </c>
      <c r="IW52" s="410">
        <v>0</v>
      </c>
      <c r="IX52" s="410">
        <v>0</v>
      </c>
      <c r="IY52" s="410">
        <v>0.9</v>
      </c>
      <c r="IZ52" s="410">
        <v>0</v>
      </c>
      <c r="JA52" s="410"/>
      <c r="JB52" s="410"/>
      <c r="JC52" s="410"/>
      <c r="JD52" s="410"/>
      <c r="JE52" s="410"/>
      <c r="JF52" s="410"/>
      <c r="JG52" s="410"/>
      <c r="JH52" s="410"/>
      <c r="JI52" s="410"/>
      <c r="JJ52" s="410"/>
      <c r="JK52" s="410">
        <f t="shared" ref="JK52:JK59" si="129">+IM52+IN52</f>
        <v>0</v>
      </c>
      <c r="JL52" s="410">
        <f t="shared" ref="JL52:JL59" si="130">+IY52+IZ52</f>
        <v>0.9</v>
      </c>
      <c r="JM52" s="11"/>
      <c r="JN52" s="11"/>
      <c r="JO52" s="11"/>
      <c r="JP52" s="11"/>
      <c r="JQ52" s="11"/>
      <c r="JR52" s="11"/>
      <c r="JS52" s="11"/>
      <c r="JT52" s="11"/>
      <c r="JU52" s="11"/>
    </row>
    <row r="53" spans="1:281" x14ac:dyDescent="0.25">
      <c r="A53" s="91" t="s">
        <v>57</v>
      </c>
      <c r="B53" s="34"/>
      <c r="C53" s="34"/>
      <c r="D53" s="34"/>
      <c r="E53" s="79">
        <v>492</v>
      </c>
      <c r="F53" s="79">
        <v>414</v>
      </c>
      <c r="G53" s="79">
        <v>198</v>
      </c>
      <c r="H53" s="79">
        <v>162</v>
      </c>
      <c r="I53" s="106" t="s">
        <v>29</v>
      </c>
      <c r="J53" s="106" t="s">
        <v>29</v>
      </c>
      <c r="K53" s="79">
        <v>74</v>
      </c>
      <c r="L53" s="79">
        <v>589</v>
      </c>
      <c r="M53" s="65" t="s">
        <v>29</v>
      </c>
      <c r="N53" s="102" t="s">
        <v>29</v>
      </c>
      <c r="O53" s="101" t="s">
        <v>29</v>
      </c>
      <c r="P53" s="102" t="s">
        <v>29</v>
      </c>
      <c r="Q53" s="101" t="s">
        <v>29</v>
      </c>
      <c r="R53" s="103" t="s">
        <v>66</v>
      </c>
      <c r="S53" s="102" t="s">
        <v>29</v>
      </c>
      <c r="T53" s="102" t="s">
        <v>29</v>
      </c>
      <c r="U53" s="103" t="s">
        <v>66</v>
      </c>
      <c r="V53" s="101" t="s">
        <v>29</v>
      </c>
      <c r="W53" s="104" t="s">
        <v>29</v>
      </c>
      <c r="X53" s="104" t="s">
        <v>29</v>
      </c>
      <c r="Y53" s="115" t="s">
        <v>29</v>
      </c>
      <c r="Z53" s="104" t="s">
        <v>29</v>
      </c>
      <c r="AA53" s="107" t="s">
        <v>29</v>
      </c>
      <c r="AB53" s="113" t="s">
        <v>29</v>
      </c>
      <c r="AC53" s="111" t="s">
        <v>29</v>
      </c>
      <c r="AD53" s="104" t="s">
        <v>29</v>
      </c>
      <c r="AE53" s="94">
        <f>SUM(S53:Z53)</f>
        <v>0</v>
      </c>
      <c r="AF53" s="93">
        <v>0</v>
      </c>
      <c r="AG53" s="93"/>
      <c r="AH53" s="94"/>
      <c r="AI53" s="94"/>
      <c r="AJ53" s="94"/>
      <c r="AK53" s="101"/>
      <c r="AL53" s="101"/>
      <c r="AM53" s="69">
        <f>SUM(Z53:AK53)</f>
        <v>0</v>
      </c>
      <c r="AN53" s="101"/>
      <c r="AO53" s="101"/>
      <c r="AP53" s="101"/>
      <c r="AQ53" s="101"/>
      <c r="AR53" s="101"/>
      <c r="AS53" s="101" t="s">
        <v>29</v>
      </c>
      <c r="AT53" s="101"/>
      <c r="AU53" s="101" t="s">
        <v>29</v>
      </c>
      <c r="AV53" s="101"/>
      <c r="AW53" s="101"/>
      <c r="AX53" s="69"/>
      <c r="AY53" s="101"/>
      <c r="AZ53" s="69">
        <f>SUM(AN53:AX53)</f>
        <v>0</v>
      </c>
      <c r="BA53" s="69">
        <v>0</v>
      </c>
      <c r="BB53" s="69">
        <v>0</v>
      </c>
      <c r="BC53" s="69"/>
      <c r="BD53" s="69"/>
      <c r="BE53" s="69"/>
      <c r="BF53" s="191"/>
      <c r="BG53" s="191">
        <v>0</v>
      </c>
      <c r="BH53" s="191">
        <v>0</v>
      </c>
      <c r="BI53" s="191">
        <v>0</v>
      </c>
      <c r="BJ53" s="191">
        <v>0</v>
      </c>
      <c r="BK53" s="191">
        <v>0</v>
      </c>
      <c r="BL53" s="352">
        <v>0</v>
      </c>
      <c r="BM53" s="352">
        <v>2.6</v>
      </c>
      <c r="BN53" s="352">
        <v>0</v>
      </c>
      <c r="BO53" s="352">
        <v>0</v>
      </c>
      <c r="BP53" s="191">
        <v>0</v>
      </c>
      <c r="BQ53" s="191">
        <v>0</v>
      </c>
      <c r="BR53" s="191">
        <v>0</v>
      </c>
      <c r="BS53" s="191">
        <v>0</v>
      </c>
      <c r="BT53" s="191">
        <v>0</v>
      </c>
      <c r="BU53" s="191">
        <v>0</v>
      </c>
      <c r="BV53" s="191">
        <v>0</v>
      </c>
      <c r="BW53" s="191">
        <v>0</v>
      </c>
      <c r="BX53" s="191">
        <v>0</v>
      </c>
      <c r="BY53" s="191">
        <v>0</v>
      </c>
      <c r="BZ53" s="191">
        <v>0</v>
      </c>
      <c r="CA53" s="191">
        <v>0</v>
      </c>
      <c r="CB53" s="191">
        <f>SUM(BP53:BZ53)</f>
        <v>0</v>
      </c>
      <c r="CC53" s="191" t="s">
        <v>29</v>
      </c>
      <c r="CD53" s="191" t="s">
        <v>29</v>
      </c>
      <c r="CE53" s="191"/>
      <c r="CF53" s="191"/>
      <c r="CG53" s="191" t="s">
        <v>29</v>
      </c>
      <c r="CH53" s="191"/>
      <c r="CI53" s="191"/>
      <c r="CJ53" s="191"/>
      <c r="CK53" s="191"/>
      <c r="CL53" s="191"/>
      <c r="CM53" s="191"/>
      <c r="CN53" s="191"/>
      <c r="CO53" s="191">
        <f>SUM(CC53:CE53)</f>
        <v>0</v>
      </c>
      <c r="CP53" s="191">
        <v>0</v>
      </c>
      <c r="CQ53" s="191"/>
      <c r="CR53" s="191" t="s">
        <v>29</v>
      </c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>
        <f t="shared" si="126"/>
        <v>0</v>
      </c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>
        <f t="shared" si="127"/>
        <v>0</v>
      </c>
      <c r="FC53" s="191">
        <v>0</v>
      </c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>
        <f>OW53</f>
        <v>0</v>
      </c>
      <c r="HC53" s="191">
        <f t="shared" ref="HC53:HC55" si="131">OX53</f>
        <v>0</v>
      </c>
      <c r="HD53" s="191">
        <f t="shared" ref="HD53:HD55" si="132">OY53</f>
        <v>0</v>
      </c>
      <c r="HE53" s="191">
        <f t="shared" ref="HE53:HE55" si="133">OZ53</f>
        <v>0</v>
      </c>
      <c r="HF53" s="191">
        <f t="shared" ref="HF53:HF55" si="134">PA53</f>
        <v>0</v>
      </c>
      <c r="HG53" s="191">
        <f t="shared" ref="HG53:HG55" si="135">PB53</f>
        <v>0</v>
      </c>
      <c r="HH53" s="191">
        <f t="shared" ref="HH53:HH55" si="136">PC53</f>
        <v>0</v>
      </c>
      <c r="HI53" s="191">
        <f t="shared" ref="HI53:HI55" si="137">PD53</f>
        <v>0</v>
      </c>
      <c r="HJ53" s="191">
        <f t="shared" ref="HJ53:HJ55" si="138">PE53</f>
        <v>0</v>
      </c>
      <c r="HK53" s="191">
        <f t="shared" ref="HK53:HK55" si="139">PF53</f>
        <v>0</v>
      </c>
      <c r="HL53" s="191">
        <f t="shared" ref="HL53:HL55" si="140">PG53</f>
        <v>0</v>
      </c>
      <c r="HM53" s="191">
        <f t="shared" ref="HM53:HM55" si="141">PH53</f>
        <v>0</v>
      </c>
      <c r="HN53" s="191">
        <f t="shared" si="124"/>
        <v>0</v>
      </c>
      <c r="HO53" s="191">
        <f>PJ53</f>
        <v>0</v>
      </c>
      <c r="HP53" s="356">
        <f t="shared" si="128"/>
        <v>0</v>
      </c>
      <c r="HQ53" s="356">
        <f t="shared" si="128"/>
        <v>0</v>
      </c>
      <c r="HR53" s="356">
        <f t="shared" si="125"/>
        <v>0</v>
      </c>
      <c r="HS53" s="356">
        <f t="shared" si="125"/>
        <v>0</v>
      </c>
      <c r="HT53" s="356">
        <f t="shared" si="125"/>
        <v>0</v>
      </c>
      <c r="HU53" s="410">
        <v>0</v>
      </c>
      <c r="HV53" s="191">
        <v>0</v>
      </c>
      <c r="HW53" s="191">
        <v>0</v>
      </c>
      <c r="HX53" s="191">
        <v>2.6</v>
      </c>
      <c r="HY53" s="191">
        <v>0</v>
      </c>
      <c r="HZ53" s="410">
        <v>0</v>
      </c>
      <c r="IA53" s="191">
        <v>0</v>
      </c>
      <c r="IB53" s="191">
        <v>0</v>
      </c>
      <c r="IC53" s="191">
        <v>0</v>
      </c>
      <c r="ID53" s="191">
        <v>0</v>
      </c>
      <c r="IE53" s="191">
        <v>0</v>
      </c>
      <c r="IF53" s="191">
        <v>0</v>
      </c>
      <c r="IG53" s="410">
        <v>0</v>
      </c>
      <c r="IH53" s="410">
        <v>0</v>
      </c>
      <c r="II53" s="410">
        <v>0</v>
      </c>
      <c r="IJ53" s="410">
        <v>0</v>
      </c>
      <c r="IK53" s="410">
        <v>0</v>
      </c>
      <c r="IL53" s="410">
        <v>0</v>
      </c>
      <c r="IM53" s="410">
        <v>0</v>
      </c>
      <c r="IN53" s="410">
        <v>0</v>
      </c>
      <c r="IO53" s="410">
        <v>0</v>
      </c>
      <c r="IP53" s="410">
        <v>0</v>
      </c>
      <c r="IQ53" s="410">
        <v>0</v>
      </c>
      <c r="IR53" s="410">
        <v>0</v>
      </c>
      <c r="IS53" s="410">
        <v>0</v>
      </c>
      <c r="IT53" s="410">
        <v>0</v>
      </c>
      <c r="IU53" s="410">
        <v>0</v>
      </c>
      <c r="IV53" s="410">
        <v>0</v>
      </c>
      <c r="IW53" s="410">
        <v>0</v>
      </c>
      <c r="IX53" s="410">
        <v>0</v>
      </c>
      <c r="IY53" s="410">
        <v>0</v>
      </c>
      <c r="IZ53" s="410">
        <v>0</v>
      </c>
      <c r="JA53" s="410"/>
      <c r="JB53" s="410"/>
      <c r="JC53" s="410"/>
      <c r="JD53" s="410"/>
      <c r="JE53" s="410"/>
      <c r="JF53" s="410"/>
      <c r="JG53" s="410"/>
      <c r="JH53" s="410"/>
      <c r="JI53" s="410"/>
      <c r="JJ53" s="410"/>
      <c r="JK53" s="410">
        <f t="shared" si="129"/>
        <v>0</v>
      </c>
      <c r="JL53" s="410">
        <f t="shared" si="130"/>
        <v>0</v>
      </c>
      <c r="JM53" s="10"/>
      <c r="JN53" s="17"/>
      <c r="JO53" s="17"/>
      <c r="JP53" s="17"/>
      <c r="JQ53" s="10"/>
      <c r="JR53" s="10"/>
      <c r="JS53" s="10"/>
      <c r="JT53" s="9"/>
      <c r="JU53" s="11"/>
    </row>
    <row r="54" spans="1:281" x14ac:dyDescent="0.25">
      <c r="A54" s="91" t="s">
        <v>58</v>
      </c>
      <c r="B54" s="34"/>
      <c r="C54" s="34"/>
      <c r="D54" s="34"/>
      <c r="E54" s="79">
        <v>3813</v>
      </c>
      <c r="F54" s="79">
        <v>1367</v>
      </c>
      <c r="G54" s="79">
        <v>4708</v>
      </c>
      <c r="H54" s="79">
        <v>3695</v>
      </c>
      <c r="I54" s="79">
        <v>6454</v>
      </c>
      <c r="J54" s="79">
        <v>4453</v>
      </c>
      <c r="K54" s="79">
        <v>1835</v>
      </c>
      <c r="L54" s="79">
        <v>78</v>
      </c>
      <c r="M54" s="79">
        <v>613</v>
      </c>
      <c r="N54" s="92">
        <v>2311</v>
      </c>
      <c r="O54" s="101" t="s">
        <v>80</v>
      </c>
      <c r="P54" s="92">
        <v>369</v>
      </c>
      <c r="Q54" s="93">
        <v>180</v>
      </c>
      <c r="R54" s="101" t="s">
        <v>80</v>
      </c>
      <c r="S54" s="102" t="s">
        <v>29</v>
      </c>
      <c r="T54" s="102" t="s">
        <v>29</v>
      </c>
      <c r="U54" s="103" t="s">
        <v>66</v>
      </c>
      <c r="V54" s="101" t="s">
        <v>29</v>
      </c>
      <c r="W54" s="103" t="s">
        <v>80</v>
      </c>
      <c r="X54" s="107" t="s">
        <v>29</v>
      </c>
      <c r="Y54" s="115" t="s">
        <v>29</v>
      </c>
      <c r="Z54" s="107" t="s">
        <v>29</v>
      </c>
      <c r="AA54" s="107" t="s">
        <v>29</v>
      </c>
      <c r="AB54" s="103" t="s">
        <v>80</v>
      </c>
      <c r="AC54" s="103" t="s">
        <v>80</v>
      </c>
      <c r="AD54" s="104" t="s">
        <v>29</v>
      </c>
      <c r="AE54" s="108" t="s">
        <v>80</v>
      </c>
      <c r="AF54" s="101">
        <v>128</v>
      </c>
      <c r="AG54" s="101">
        <v>163</v>
      </c>
      <c r="AH54" s="105" t="s">
        <v>29</v>
      </c>
      <c r="AI54" s="101" t="s">
        <v>29</v>
      </c>
      <c r="AJ54" s="101" t="s">
        <v>29</v>
      </c>
      <c r="AK54" s="101" t="s">
        <v>29</v>
      </c>
      <c r="AL54" s="101">
        <v>190.16</v>
      </c>
      <c r="AM54" s="101" t="s">
        <v>29</v>
      </c>
      <c r="AN54" s="101" t="s">
        <v>29</v>
      </c>
      <c r="AO54" s="101" t="s">
        <v>29</v>
      </c>
      <c r="AP54" s="101" t="s">
        <v>29</v>
      </c>
      <c r="AQ54" s="101" t="s">
        <v>29</v>
      </c>
      <c r="AR54" s="101" t="s">
        <v>29</v>
      </c>
      <c r="AS54" s="101" t="s">
        <v>29</v>
      </c>
      <c r="AT54" s="101" t="s">
        <v>29</v>
      </c>
      <c r="AU54" s="101" t="s">
        <v>29</v>
      </c>
      <c r="AV54" s="101" t="s">
        <v>29</v>
      </c>
      <c r="AW54" s="101" t="s">
        <v>29</v>
      </c>
      <c r="AX54" s="101" t="s">
        <v>29</v>
      </c>
      <c r="AY54" s="101" t="s">
        <v>29</v>
      </c>
      <c r="AZ54" s="101" t="s">
        <v>29</v>
      </c>
      <c r="BA54" s="101" t="s">
        <v>29</v>
      </c>
      <c r="BB54" s="101" t="s">
        <v>29</v>
      </c>
      <c r="BC54" s="101"/>
      <c r="BD54" s="101"/>
      <c r="BE54" s="101"/>
      <c r="BF54" s="191"/>
      <c r="BG54" s="191">
        <v>0</v>
      </c>
      <c r="BH54" s="191">
        <v>0</v>
      </c>
      <c r="BI54" s="191">
        <v>0</v>
      </c>
      <c r="BJ54" s="191">
        <v>0</v>
      </c>
      <c r="BK54" s="191">
        <v>0</v>
      </c>
      <c r="BL54" s="352">
        <v>0</v>
      </c>
      <c r="BM54" s="352">
        <v>0</v>
      </c>
      <c r="BN54" s="352">
        <v>0</v>
      </c>
      <c r="BO54" s="352">
        <v>0</v>
      </c>
      <c r="BP54" s="191">
        <v>0</v>
      </c>
      <c r="BQ54" s="191">
        <v>0</v>
      </c>
      <c r="BR54" s="191">
        <v>0</v>
      </c>
      <c r="BS54" s="191">
        <v>0</v>
      </c>
      <c r="BT54" s="191">
        <v>0</v>
      </c>
      <c r="BU54" s="191">
        <v>0</v>
      </c>
      <c r="BV54" s="191">
        <v>0</v>
      </c>
      <c r="BW54" s="191">
        <v>0</v>
      </c>
      <c r="BX54" s="191">
        <v>0</v>
      </c>
      <c r="BY54" s="191">
        <v>0</v>
      </c>
      <c r="BZ54" s="191">
        <v>0</v>
      </c>
      <c r="CA54" s="191">
        <v>0</v>
      </c>
      <c r="CB54" s="191" t="s">
        <v>29</v>
      </c>
      <c r="CC54" s="191" t="s">
        <v>29</v>
      </c>
      <c r="CD54" s="191" t="s">
        <v>29</v>
      </c>
      <c r="CE54" s="191" t="s">
        <v>29</v>
      </c>
      <c r="CF54" s="191" t="s">
        <v>29</v>
      </c>
      <c r="CG54" s="191" t="s">
        <v>29</v>
      </c>
      <c r="CH54" s="191" t="s">
        <v>29</v>
      </c>
      <c r="CI54" s="191" t="s">
        <v>29</v>
      </c>
      <c r="CJ54" s="191" t="s">
        <v>29</v>
      </c>
      <c r="CK54" s="191" t="s">
        <v>29</v>
      </c>
      <c r="CL54" s="191" t="s">
        <v>29</v>
      </c>
      <c r="CM54" s="191" t="s">
        <v>29</v>
      </c>
      <c r="CN54" s="191" t="s">
        <v>29</v>
      </c>
      <c r="CO54" s="191" t="s">
        <v>29</v>
      </c>
      <c r="CP54" s="191">
        <v>0</v>
      </c>
      <c r="CQ54" s="191">
        <v>0</v>
      </c>
      <c r="CR54" s="191" t="s">
        <v>29</v>
      </c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>
        <f t="shared" si="126"/>
        <v>0</v>
      </c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>
        <f t="shared" si="127"/>
        <v>0</v>
      </c>
      <c r="FC54" s="191">
        <v>0</v>
      </c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>
        <f>OW54</f>
        <v>0</v>
      </c>
      <c r="HC54" s="191">
        <f t="shared" si="131"/>
        <v>0</v>
      </c>
      <c r="HD54" s="191">
        <f t="shared" si="132"/>
        <v>0</v>
      </c>
      <c r="HE54" s="191">
        <f t="shared" si="133"/>
        <v>0</v>
      </c>
      <c r="HF54" s="191">
        <f t="shared" si="134"/>
        <v>0</v>
      </c>
      <c r="HG54" s="191">
        <f t="shared" si="135"/>
        <v>0</v>
      </c>
      <c r="HH54" s="191">
        <f t="shared" si="136"/>
        <v>0</v>
      </c>
      <c r="HI54" s="191">
        <f t="shared" si="137"/>
        <v>0</v>
      </c>
      <c r="HJ54" s="191">
        <f t="shared" si="138"/>
        <v>0</v>
      </c>
      <c r="HK54" s="191">
        <f t="shared" si="139"/>
        <v>0</v>
      </c>
      <c r="HL54" s="191">
        <f t="shared" si="140"/>
        <v>0</v>
      </c>
      <c r="HM54" s="191">
        <f t="shared" si="141"/>
        <v>0</v>
      </c>
      <c r="HN54" s="191">
        <f t="shared" si="124"/>
        <v>0</v>
      </c>
      <c r="HO54" s="191">
        <f>PJ54</f>
        <v>0</v>
      </c>
      <c r="HP54" s="356">
        <f t="shared" si="128"/>
        <v>0</v>
      </c>
      <c r="HQ54" s="356">
        <f t="shared" si="128"/>
        <v>0</v>
      </c>
      <c r="HR54" s="356">
        <f t="shared" si="125"/>
        <v>0</v>
      </c>
      <c r="HS54" s="356">
        <f t="shared" si="125"/>
        <v>0</v>
      </c>
      <c r="HT54" s="356">
        <f t="shared" si="125"/>
        <v>0</v>
      </c>
      <c r="HU54" s="410">
        <v>0</v>
      </c>
      <c r="HV54" s="191">
        <v>0</v>
      </c>
      <c r="HW54" s="191">
        <v>0</v>
      </c>
      <c r="HX54" s="191">
        <v>0</v>
      </c>
      <c r="HY54" s="191">
        <v>0</v>
      </c>
      <c r="HZ54" s="410">
        <v>0</v>
      </c>
      <c r="IA54" s="191">
        <v>0</v>
      </c>
      <c r="IB54" s="191">
        <v>0</v>
      </c>
      <c r="IC54" s="191">
        <v>0</v>
      </c>
      <c r="ID54" s="191">
        <v>0</v>
      </c>
      <c r="IE54" s="191">
        <v>0</v>
      </c>
      <c r="IF54" s="191">
        <v>0</v>
      </c>
      <c r="IG54" s="410">
        <v>0</v>
      </c>
      <c r="IH54" s="410">
        <v>0</v>
      </c>
      <c r="II54" s="410">
        <v>0</v>
      </c>
      <c r="IJ54" s="410">
        <v>0</v>
      </c>
      <c r="IK54" s="410">
        <v>0</v>
      </c>
      <c r="IL54" s="410">
        <v>0</v>
      </c>
      <c r="IM54" s="410">
        <v>0</v>
      </c>
      <c r="IN54" s="410">
        <v>0</v>
      </c>
      <c r="IO54" s="410">
        <v>0</v>
      </c>
      <c r="IP54" s="410">
        <v>0</v>
      </c>
      <c r="IQ54" s="410">
        <v>0</v>
      </c>
      <c r="IR54" s="410">
        <v>0</v>
      </c>
      <c r="IS54" s="410">
        <v>0</v>
      </c>
      <c r="IT54" s="410">
        <v>0</v>
      </c>
      <c r="IU54" s="410">
        <v>0</v>
      </c>
      <c r="IV54" s="410">
        <v>0</v>
      </c>
      <c r="IW54" s="410">
        <v>0</v>
      </c>
      <c r="IX54" s="410">
        <v>0</v>
      </c>
      <c r="IY54" s="410">
        <v>0</v>
      </c>
      <c r="IZ54" s="410">
        <v>0</v>
      </c>
      <c r="JA54" s="410"/>
      <c r="JB54" s="410"/>
      <c r="JC54" s="410"/>
      <c r="JD54" s="410"/>
      <c r="JE54" s="410"/>
      <c r="JF54" s="410"/>
      <c r="JG54" s="410"/>
      <c r="JH54" s="410"/>
      <c r="JI54" s="410"/>
      <c r="JJ54" s="410"/>
      <c r="JK54" s="410">
        <f t="shared" si="129"/>
        <v>0</v>
      </c>
      <c r="JL54" s="410">
        <f t="shared" si="130"/>
        <v>0</v>
      </c>
      <c r="JM54" s="10"/>
      <c r="JN54" s="17"/>
      <c r="JO54" s="17"/>
      <c r="JP54" s="17"/>
      <c r="JQ54" s="10"/>
      <c r="JR54" s="10"/>
      <c r="JS54" s="10"/>
      <c r="JT54" s="9"/>
      <c r="JU54" s="11"/>
    </row>
    <row r="55" spans="1:281" x14ac:dyDescent="0.25">
      <c r="A55" s="91" t="s">
        <v>59</v>
      </c>
      <c r="B55" s="34"/>
      <c r="C55" s="34"/>
      <c r="D55" s="34"/>
      <c r="E55" s="79">
        <v>354</v>
      </c>
      <c r="F55" s="79">
        <v>506</v>
      </c>
      <c r="G55" s="79">
        <v>617</v>
      </c>
      <c r="H55" s="79">
        <v>313</v>
      </c>
      <c r="I55" s="79">
        <v>503</v>
      </c>
      <c r="J55" s="79">
        <v>284</v>
      </c>
      <c r="K55" s="79">
        <v>445</v>
      </c>
      <c r="L55" s="79">
        <v>416</v>
      </c>
      <c r="M55" s="79">
        <v>271</v>
      </c>
      <c r="N55" s="92">
        <v>26</v>
      </c>
      <c r="O55" s="101" t="s">
        <v>80</v>
      </c>
      <c r="P55" s="92">
        <v>14</v>
      </c>
      <c r="Q55" s="93">
        <v>3096</v>
      </c>
      <c r="R55" s="93">
        <v>225</v>
      </c>
      <c r="S55" s="102" t="s">
        <v>29</v>
      </c>
      <c r="T55" s="102" t="s">
        <v>29</v>
      </c>
      <c r="U55" s="69">
        <v>31</v>
      </c>
      <c r="V55" s="101" t="s">
        <v>29</v>
      </c>
      <c r="W55" s="93">
        <v>54</v>
      </c>
      <c r="X55" s="107" t="s">
        <v>29</v>
      </c>
      <c r="Y55" s="115" t="s">
        <v>29</v>
      </c>
      <c r="Z55" s="93">
        <v>32</v>
      </c>
      <c r="AA55" s="93">
        <v>108</v>
      </c>
      <c r="AB55" s="103" t="s">
        <v>80</v>
      </c>
      <c r="AC55" s="103" t="s">
        <v>80</v>
      </c>
      <c r="AD55" s="104" t="s">
        <v>29</v>
      </c>
      <c r="AE55" s="94">
        <f>SUM(S55:AD55)</f>
        <v>225</v>
      </c>
      <c r="AF55" s="105" t="s">
        <v>29</v>
      </c>
      <c r="AG55" s="105" t="s">
        <v>29</v>
      </c>
      <c r="AH55" s="105" t="s">
        <v>29</v>
      </c>
      <c r="AI55" s="101" t="s">
        <v>29</v>
      </c>
      <c r="AJ55" s="101" t="s">
        <v>29</v>
      </c>
      <c r="AK55" s="101" t="s">
        <v>29</v>
      </c>
      <c r="AL55" s="101" t="s">
        <v>29</v>
      </c>
      <c r="AM55" s="101" t="s">
        <v>29</v>
      </c>
      <c r="AN55" s="101" t="s">
        <v>29</v>
      </c>
      <c r="AO55" s="101" t="s">
        <v>29</v>
      </c>
      <c r="AP55" s="101" t="s">
        <v>29</v>
      </c>
      <c r="AQ55" s="101" t="s">
        <v>29</v>
      </c>
      <c r="AR55" s="101" t="s">
        <v>29</v>
      </c>
      <c r="AS55" s="101" t="s">
        <v>29</v>
      </c>
      <c r="AT55" s="101" t="s">
        <v>29</v>
      </c>
      <c r="AU55" s="101" t="s">
        <v>29</v>
      </c>
      <c r="AV55" s="101" t="s">
        <v>29</v>
      </c>
      <c r="AW55" s="101" t="s">
        <v>29</v>
      </c>
      <c r="AX55" s="101" t="s">
        <v>29</v>
      </c>
      <c r="AY55" s="101" t="s">
        <v>29</v>
      </c>
      <c r="AZ55" s="101" t="s">
        <v>29</v>
      </c>
      <c r="BA55" s="101" t="s">
        <v>29</v>
      </c>
      <c r="BB55" s="101">
        <v>0</v>
      </c>
      <c r="BC55" s="101"/>
      <c r="BD55" s="101"/>
      <c r="BE55" s="101"/>
      <c r="BF55" s="191"/>
      <c r="BG55" s="191">
        <v>0</v>
      </c>
      <c r="BH55" s="191">
        <v>0</v>
      </c>
      <c r="BI55" s="191">
        <v>0</v>
      </c>
      <c r="BJ55" s="191">
        <v>0</v>
      </c>
      <c r="BK55" s="191">
        <v>0</v>
      </c>
      <c r="BL55" s="352">
        <v>0</v>
      </c>
      <c r="BM55" s="352">
        <v>0</v>
      </c>
      <c r="BN55" s="352">
        <v>0</v>
      </c>
      <c r="BO55" s="352">
        <v>0</v>
      </c>
      <c r="BP55" s="191">
        <v>0</v>
      </c>
      <c r="BQ55" s="191">
        <v>0</v>
      </c>
      <c r="BR55" s="191">
        <v>0</v>
      </c>
      <c r="BS55" s="191">
        <v>0</v>
      </c>
      <c r="BT55" s="191">
        <v>0</v>
      </c>
      <c r="BU55" s="191">
        <v>0</v>
      </c>
      <c r="BV55" s="191">
        <v>0</v>
      </c>
      <c r="BW55" s="191">
        <v>0</v>
      </c>
      <c r="BX55" s="191">
        <v>0</v>
      </c>
      <c r="BY55" s="191">
        <v>0</v>
      </c>
      <c r="BZ55" s="191">
        <v>0</v>
      </c>
      <c r="CA55" s="191">
        <v>0</v>
      </c>
      <c r="CB55" s="191">
        <f>SUM(BP55:BZ55)</f>
        <v>0</v>
      </c>
      <c r="CC55" s="191" t="s">
        <v>29</v>
      </c>
      <c r="CD55" s="191" t="s">
        <v>29</v>
      </c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>
        <f>SUM(CC55:CE55)</f>
        <v>0</v>
      </c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>
        <f t="shared" si="126"/>
        <v>0</v>
      </c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>
        <f t="shared" si="127"/>
        <v>0</v>
      </c>
      <c r="FC55" s="191">
        <v>0</v>
      </c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>
        <f>OW55</f>
        <v>0</v>
      </c>
      <c r="HC55" s="191">
        <f t="shared" si="131"/>
        <v>0</v>
      </c>
      <c r="HD55" s="191">
        <f t="shared" si="132"/>
        <v>0</v>
      </c>
      <c r="HE55" s="191">
        <f t="shared" si="133"/>
        <v>0</v>
      </c>
      <c r="HF55" s="191">
        <f t="shared" si="134"/>
        <v>0</v>
      </c>
      <c r="HG55" s="191">
        <f t="shared" si="135"/>
        <v>0</v>
      </c>
      <c r="HH55" s="191">
        <f t="shared" si="136"/>
        <v>0</v>
      </c>
      <c r="HI55" s="191">
        <f t="shared" si="137"/>
        <v>0</v>
      </c>
      <c r="HJ55" s="191">
        <f t="shared" si="138"/>
        <v>0</v>
      </c>
      <c r="HK55" s="191">
        <f t="shared" si="139"/>
        <v>0</v>
      </c>
      <c r="HL55" s="191">
        <f t="shared" si="140"/>
        <v>0</v>
      </c>
      <c r="HM55" s="191">
        <f t="shared" si="141"/>
        <v>0</v>
      </c>
      <c r="HN55" s="191">
        <f t="shared" si="124"/>
        <v>0</v>
      </c>
      <c r="HO55" s="191">
        <f>PJ55</f>
        <v>0</v>
      </c>
      <c r="HP55" s="356">
        <f t="shared" si="128"/>
        <v>0</v>
      </c>
      <c r="HQ55" s="356">
        <f t="shared" si="128"/>
        <v>0</v>
      </c>
      <c r="HR55" s="356">
        <f t="shared" si="125"/>
        <v>0</v>
      </c>
      <c r="HS55" s="356">
        <f t="shared" si="125"/>
        <v>0</v>
      </c>
      <c r="HT55" s="356">
        <f t="shared" si="125"/>
        <v>0</v>
      </c>
      <c r="HU55" s="410">
        <v>0</v>
      </c>
      <c r="HV55" s="191">
        <v>0</v>
      </c>
      <c r="HW55" s="191">
        <v>0</v>
      </c>
      <c r="HX55" s="191">
        <v>0</v>
      </c>
      <c r="HY55" s="191">
        <v>0</v>
      </c>
      <c r="HZ55" s="410">
        <v>0</v>
      </c>
      <c r="IA55" s="191">
        <v>0</v>
      </c>
      <c r="IB55" s="191">
        <v>0</v>
      </c>
      <c r="IC55" s="191">
        <v>0</v>
      </c>
      <c r="ID55" s="191">
        <v>0</v>
      </c>
      <c r="IE55" s="191">
        <v>0</v>
      </c>
      <c r="IF55" s="191">
        <v>0</v>
      </c>
      <c r="IG55" s="410">
        <v>0</v>
      </c>
      <c r="IH55" s="410">
        <v>0</v>
      </c>
      <c r="II55" s="410">
        <v>0</v>
      </c>
      <c r="IJ55" s="410">
        <v>0</v>
      </c>
      <c r="IK55" s="410">
        <v>0</v>
      </c>
      <c r="IL55" s="410">
        <v>0</v>
      </c>
      <c r="IM55" s="410">
        <v>0</v>
      </c>
      <c r="IN55" s="410">
        <v>0</v>
      </c>
      <c r="IO55" s="410">
        <v>0</v>
      </c>
      <c r="IP55" s="410">
        <v>0</v>
      </c>
      <c r="IQ55" s="410">
        <v>0</v>
      </c>
      <c r="IR55" s="410">
        <v>0</v>
      </c>
      <c r="IS55" s="410">
        <v>0</v>
      </c>
      <c r="IT55" s="410">
        <v>0</v>
      </c>
      <c r="IU55" s="410">
        <v>0</v>
      </c>
      <c r="IV55" s="410">
        <v>0</v>
      </c>
      <c r="IW55" s="410">
        <v>0</v>
      </c>
      <c r="IX55" s="410">
        <v>0</v>
      </c>
      <c r="IY55" s="410">
        <v>0</v>
      </c>
      <c r="IZ55" s="410">
        <v>0</v>
      </c>
      <c r="JA55" s="410"/>
      <c r="JB55" s="410"/>
      <c r="JC55" s="410"/>
      <c r="JD55" s="410"/>
      <c r="JE55" s="410"/>
      <c r="JF55" s="410"/>
      <c r="JG55" s="410"/>
      <c r="JH55" s="410"/>
      <c r="JI55" s="410"/>
      <c r="JJ55" s="410"/>
      <c r="JK55" s="410">
        <f t="shared" si="129"/>
        <v>0</v>
      </c>
      <c r="JL55" s="410">
        <f t="shared" si="130"/>
        <v>0</v>
      </c>
      <c r="JM55" s="11"/>
      <c r="JN55" s="11"/>
      <c r="JO55" s="11"/>
      <c r="JP55" s="11"/>
      <c r="JQ55" s="11"/>
      <c r="JR55" s="11"/>
      <c r="JS55" s="11"/>
      <c r="JT55" s="11"/>
      <c r="JU55" s="11"/>
    </row>
    <row r="56" spans="1:281" x14ac:dyDescent="0.25">
      <c r="A56" s="91" t="s">
        <v>60</v>
      </c>
      <c r="B56" s="34"/>
      <c r="C56" s="34"/>
      <c r="D56" s="34"/>
      <c r="E56" s="79">
        <v>61733</v>
      </c>
      <c r="F56" s="79">
        <v>55754</v>
      </c>
      <c r="G56" s="79">
        <v>61859</v>
      </c>
      <c r="H56" s="79">
        <v>68027</v>
      </c>
      <c r="I56" s="79">
        <v>79596</v>
      </c>
      <c r="J56" s="79">
        <v>72026</v>
      </c>
      <c r="K56" s="79">
        <v>56809</v>
      </c>
      <c r="L56" s="79">
        <v>39088</v>
      </c>
      <c r="M56" s="79">
        <v>39053</v>
      </c>
      <c r="N56" s="92">
        <v>24578</v>
      </c>
      <c r="O56" s="93">
        <v>23718</v>
      </c>
      <c r="P56" s="92">
        <v>36746</v>
      </c>
      <c r="Q56" s="93">
        <v>28273</v>
      </c>
      <c r="R56" s="93">
        <v>41047.85</v>
      </c>
      <c r="S56" s="92">
        <v>3675</v>
      </c>
      <c r="T56" s="92">
        <f>3086+40</f>
        <v>3126</v>
      </c>
      <c r="U56" s="101">
        <v>3543</v>
      </c>
      <c r="V56" s="69">
        <v>3139</v>
      </c>
      <c r="W56" s="93">
        <v>3825</v>
      </c>
      <c r="X56" s="104">
        <v>3245</v>
      </c>
      <c r="Y56" s="94">
        <v>1826</v>
      </c>
      <c r="Z56" s="93">
        <v>3745</v>
      </c>
      <c r="AA56" s="93">
        <v>5181</v>
      </c>
      <c r="AB56" s="93">
        <v>2605</v>
      </c>
      <c r="AC56" s="94">
        <v>4446</v>
      </c>
      <c r="AD56" s="93">
        <v>2691.85</v>
      </c>
      <c r="AE56" s="94">
        <f>SUM(S56:AD56)</f>
        <v>41047.85</v>
      </c>
      <c r="AF56" s="93">
        <v>44377.15</v>
      </c>
      <c r="AG56" s="93">
        <v>47868</v>
      </c>
      <c r="AH56" s="94">
        <v>55659</v>
      </c>
      <c r="AI56" s="94">
        <v>60854</v>
      </c>
      <c r="AJ56" s="94">
        <v>66742</v>
      </c>
      <c r="AK56" s="94">
        <v>53287</v>
      </c>
      <c r="AL56" s="94">
        <v>25012.599000000006</v>
      </c>
      <c r="AM56" s="94">
        <v>22441.45</v>
      </c>
      <c r="AN56" s="101">
        <v>349.3</v>
      </c>
      <c r="AO56" s="101">
        <v>2012</v>
      </c>
      <c r="AP56" s="69">
        <v>3005.85</v>
      </c>
      <c r="AQ56" s="69">
        <v>3131.1</v>
      </c>
      <c r="AR56" s="101">
        <v>2684.5</v>
      </c>
      <c r="AS56" s="69">
        <v>1448.65</v>
      </c>
      <c r="AT56" s="69">
        <v>2031.8</v>
      </c>
      <c r="AU56" s="69">
        <v>1277.0999999999999</v>
      </c>
      <c r="AV56" s="69">
        <v>1347.65</v>
      </c>
      <c r="AW56" s="69">
        <v>2437.6</v>
      </c>
      <c r="AX56" s="69">
        <v>1279.95</v>
      </c>
      <c r="AY56" s="69">
        <v>1435.95</v>
      </c>
      <c r="AZ56" s="69">
        <f>SUM(AN56:AY56)</f>
        <v>22441.45</v>
      </c>
      <c r="BA56" s="69">
        <v>52315.665000000001</v>
      </c>
      <c r="BB56" s="69">
        <v>104242.4</v>
      </c>
      <c r="BC56" s="69">
        <v>82910.250000000015</v>
      </c>
      <c r="BD56" s="69">
        <v>47127.263999999996</v>
      </c>
      <c r="BE56" s="69">
        <v>19763.439999999999</v>
      </c>
      <c r="BF56" s="191">
        <v>34239.625999999997</v>
      </c>
      <c r="BG56" s="191">
        <v>12542.65</v>
      </c>
      <c r="BH56" s="191">
        <v>34740.508000000002</v>
      </c>
      <c r="BI56" s="191">
        <v>51320.659999999996</v>
      </c>
      <c r="BJ56" s="191">
        <v>37164.707000000002</v>
      </c>
      <c r="BK56" s="191">
        <v>35291.550000000003</v>
      </c>
      <c r="BL56" s="191">
        <v>48601.349999999991</v>
      </c>
      <c r="BM56" s="191">
        <v>95611.667999999991</v>
      </c>
      <c r="BN56" s="191">
        <v>108677.7</v>
      </c>
      <c r="BO56" s="191">
        <v>124754.75000000001</v>
      </c>
      <c r="BP56" s="191">
        <v>6613</v>
      </c>
      <c r="BQ56" s="191">
        <v>4504.05</v>
      </c>
      <c r="BR56" s="191">
        <v>5430</v>
      </c>
      <c r="BS56" s="191">
        <v>8031.7</v>
      </c>
      <c r="BT56" s="191">
        <v>9379.7999999999993</v>
      </c>
      <c r="BU56" s="191">
        <v>10364.699999999999</v>
      </c>
      <c r="BV56" s="191">
        <v>9914.75</v>
      </c>
      <c r="BW56" s="191">
        <v>11622</v>
      </c>
      <c r="BX56" s="191">
        <v>12680</v>
      </c>
      <c r="BY56" s="191">
        <v>11829.7</v>
      </c>
      <c r="BZ56" s="191">
        <v>9986</v>
      </c>
      <c r="CA56" s="191">
        <v>108677.7</v>
      </c>
      <c r="CB56" s="191">
        <f>SUM(BP56:CA56)</f>
        <v>209033.4</v>
      </c>
      <c r="CC56" s="191">
        <v>9837.9500000000007</v>
      </c>
      <c r="CD56" s="191">
        <v>7368.45</v>
      </c>
      <c r="CE56" s="191">
        <v>6096.75</v>
      </c>
      <c r="CF56" s="191">
        <v>6991.8</v>
      </c>
      <c r="CG56" s="191">
        <v>5739.35</v>
      </c>
      <c r="CH56" s="191">
        <v>4602.95</v>
      </c>
      <c r="CI56" s="191">
        <v>6540.85</v>
      </c>
      <c r="CJ56" s="191">
        <v>14579.55</v>
      </c>
      <c r="CK56" s="191">
        <v>8414.1</v>
      </c>
      <c r="CL56" s="191">
        <v>12438.45</v>
      </c>
      <c r="CM56" s="191">
        <v>11056.25</v>
      </c>
      <c r="CN56" s="191">
        <v>10575.95</v>
      </c>
      <c r="CO56" s="191">
        <f>SUM(CC56:CN56)</f>
        <v>104242.4</v>
      </c>
      <c r="CP56" s="191">
        <v>11792.15</v>
      </c>
      <c r="CQ56" s="191">
        <v>8284.0400000000009</v>
      </c>
      <c r="CR56" s="191">
        <v>9928.4500000000007</v>
      </c>
      <c r="CS56" s="191">
        <v>7393.91</v>
      </c>
      <c r="CT56" s="191">
        <v>4863.55</v>
      </c>
      <c r="CU56" s="191">
        <v>5877.34</v>
      </c>
      <c r="CV56" s="191">
        <v>9254.5</v>
      </c>
      <c r="CW56" s="191">
        <v>3236.4</v>
      </c>
      <c r="CX56" s="191">
        <v>6080.45</v>
      </c>
      <c r="CY56" s="191">
        <v>5230.1000000000004</v>
      </c>
      <c r="CZ56" s="191">
        <v>4818.8500000000004</v>
      </c>
      <c r="DA56" s="191">
        <v>6150.51</v>
      </c>
      <c r="DB56" s="191">
        <f>SUM(CP56:DA56)</f>
        <v>82910.250000000015</v>
      </c>
      <c r="DC56" s="191">
        <v>4626.1440000000002</v>
      </c>
      <c r="DD56" s="191">
        <v>3654.05</v>
      </c>
      <c r="DE56" s="191">
        <v>3888.7</v>
      </c>
      <c r="DF56" s="191">
        <v>9488.25</v>
      </c>
      <c r="DG56" s="191">
        <v>4560.5</v>
      </c>
      <c r="DH56" s="191">
        <v>3606.45</v>
      </c>
      <c r="DI56" s="191">
        <v>4111.2700000000004</v>
      </c>
      <c r="DJ56" s="191">
        <v>3325.35</v>
      </c>
      <c r="DK56" s="191">
        <v>1362.9</v>
      </c>
      <c r="DL56" s="191">
        <v>3984.95</v>
      </c>
      <c r="DM56" s="191">
        <v>1365.2</v>
      </c>
      <c r="DN56" s="191">
        <v>3153.5</v>
      </c>
      <c r="DO56" s="191">
        <f>SUM(DC56:DN56)</f>
        <v>47127.263999999996</v>
      </c>
      <c r="DP56" s="191">
        <v>382.35</v>
      </c>
      <c r="DQ56" s="191">
        <v>3015.835</v>
      </c>
      <c r="DR56" s="191">
        <v>2154.1999999999998</v>
      </c>
      <c r="DS56" s="191">
        <v>803.95</v>
      </c>
      <c r="DT56" s="191">
        <v>2748.95</v>
      </c>
      <c r="DU56" s="191">
        <v>2114.355</v>
      </c>
      <c r="DV56" s="191">
        <v>988.85</v>
      </c>
      <c r="DW56" s="191">
        <v>1740.9</v>
      </c>
      <c r="DX56" s="191">
        <v>1600</v>
      </c>
      <c r="DY56" s="191">
        <v>267.75</v>
      </c>
      <c r="DZ56" s="191">
        <f>1000+2</f>
        <v>1002</v>
      </c>
      <c r="EA56" s="191">
        <v>2944.3</v>
      </c>
      <c r="EB56" s="191">
        <f>SUM(DP56:EA56)</f>
        <v>19763.439999999999</v>
      </c>
      <c r="EC56" s="191">
        <v>820.15</v>
      </c>
      <c r="ED56" s="191">
        <v>2759.5</v>
      </c>
      <c r="EE56" s="191">
        <v>2188.5</v>
      </c>
      <c r="EF56" s="191">
        <v>1015</v>
      </c>
      <c r="EG56" s="191">
        <v>2632.6</v>
      </c>
      <c r="EH56" s="191">
        <v>2992.9</v>
      </c>
      <c r="EI56" s="191">
        <v>3934.5</v>
      </c>
      <c r="EJ56" s="191">
        <v>4392.3500000000004</v>
      </c>
      <c r="EK56" s="191">
        <v>2443.4760000000001</v>
      </c>
      <c r="EL56" s="191">
        <v>4809.8999999999996</v>
      </c>
      <c r="EM56" s="191">
        <v>4170.8500000000004</v>
      </c>
      <c r="EN56" s="191">
        <v>2079.9</v>
      </c>
      <c r="EO56" s="191">
        <f>SUM(EC56:EN56)</f>
        <v>34239.625999999997</v>
      </c>
      <c r="EP56" s="191">
        <v>1336.65</v>
      </c>
      <c r="EQ56" s="191">
        <v>21</v>
      </c>
      <c r="ER56" s="191">
        <v>1109.5</v>
      </c>
      <c r="ES56" s="191">
        <v>488.2</v>
      </c>
      <c r="ET56" s="191">
        <v>1418.7</v>
      </c>
      <c r="EU56" s="191">
        <v>405</v>
      </c>
      <c r="EV56" s="191">
        <v>1194.9000000000001</v>
      </c>
      <c r="EW56" s="191">
        <v>952.35</v>
      </c>
      <c r="EX56" s="191">
        <v>2083.6999999999998</v>
      </c>
      <c r="EY56" s="191">
        <v>972.3</v>
      </c>
      <c r="EZ56" s="191">
        <v>2052.9499999999998</v>
      </c>
      <c r="FA56" s="191">
        <v>507.4</v>
      </c>
      <c r="FB56" s="191">
        <f>SUM(EP56:FA56)</f>
        <v>12542.65</v>
      </c>
      <c r="FC56" s="191">
        <v>1032.5</v>
      </c>
      <c r="FD56" s="191">
        <v>1010</v>
      </c>
      <c r="FE56" s="191">
        <v>1593.3</v>
      </c>
      <c r="FF56" s="191">
        <v>1442.5</v>
      </c>
      <c r="FG56" s="191">
        <v>1000</v>
      </c>
      <c r="FH56" s="191">
        <v>3850</v>
      </c>
      <c r="FI56" s="191">
        <v>3626.4830000000002</v>
      </c>
      <c r="FJ56" s="191">
        <v>1693.1</v>
      </c>
      <c r="FK56" s="191">
        <v>3705.0749999999998</v>
      </c>
      <c r="FL56" s="191">
        <v>5680</v>
      </c>
      <c r="FM56" s="191">
        <v>5768</v>
      </c>
      <c r="FN56" s="191">
        <v>4339.55</v>
      </c>
      <c r="FO56" s="191">
        <f>SUM(FC56:FN56)</f>
        <v>34740.508000000002</v>
      </c>
      <c r="FP56" s="191">
        <v>3042.598</v>
      </c>
      <c r="FQ56" s="191">
        <v>4712.5999999999995</v>
      </c>
      <c r="FR56" s="191">
        <v>7283.1</v>
      </c>
      <c r="FS56" s="191">
        <v>2140</v>
      </c>
      <c r="FT56" s="191">
        <v>2810</v>
      </c>
      <c r="FU56" s="191">
        <v>6562.3620000000001</v>
      </c>
      <c r="FV56" s="191">
        <v>4610.3999999999996</v>
      </c>
      <c r="FW56" s="191">
        <v>4960</v>
      </c>
      <c r="FX56" s="191">
        <v>2480</v>
      </c>
      <c r="FY56" s="191">
        <v>4552</v>
      </c>
      <c r="FZ56" s="191">
        <v>3140</v>
      </c>
      <c r="GA56" s="191">
        <v>5027.6000000000004</v>
      </c>
      <c r="GB56" s="191">
        <f>SUM(FP56:GA56)</f>
        <v>51320.659999999996</v>
      </c>
      <c r="GC56" s="191">
        <v>1712</v>
      </c>
      <c r="GD56" s="191">
        <v>2450</v>
      </c>
      <c r="GE56" s="191">
        <v>3278.3</v>
      </c>
      <c r="GF56" s="191">
        <v>5114.45</v>
      </c>
      <c r="GG56" s="191">
        <v>3154.9469999999997</v>
      </c>
      <c r="GH56" s="191">
        <v>3723.3</v>
      </c>
      <c r="GI56" s="191">
        <v>2817.7280000000001</v>
      </c>
      <c r="GJ56" s="191">
        <v>3049</v>
      </c>
      <c r="GK56" s="191">
        <v>1733.15</v>
      </c>
      <c r="GL56" s="191">
        <v>2346.5720000000001</v>
      </c>
      <c r="GM56" s="191">
        <v>4590.01</v>
      </c>
      <c r="GN56" s="191">
        <v>3195.25</v>
      </c>
      <c r="GO56" s="191">
        <f>SUM(GC56:GN56)</f>
        <v>37164.707000000002</v>
      </c>
      <c r="GP56" s="191">
        <v>2420</v>
      </c>
      <c r="GQ56" s="191">
        <v>3760.8</v>
      </c>
      <c r="GR56" s="191">
        <v>1822.9</v>
      </c>
      <c r="GS56" s="191">
        <v>2193.25</v>
      </c>
      <c r="GT56" s="191">
        <v>930</v>
      </c>
      <c r="GU56" s="191">
        <v>2900</v>
      </c>
      <c r="GV56" s="191">
        <v>3389</v>
      </c>
      <c r="GW56" s="191">
        <v>2063.65</v>
      </c>
      <c r="GX56" s="191">
        <v>2234.8000000000002</v>
      </c>
      <c r="GY56" s="191">
        <v>4312.5</v>
      </c>
      <c r="GZ56" s="191">
        <v>3850.65</v>
      </c>
      <c r="HA56" s="191">
        <v>5414</v>
      </c>
      <c r="HB56" s="191">
        <v>4286.55</v>
      </c>
      <c r="HC56" s="191">
        <v>1550.5</v>
      </c>
      <c r="HD56" s="191">
        <v>3572.95</v>
      </c>
      <c r="HE56" s="191">
        <v>5607.05</v>
      </c>
      <c r="HF56" s="191">
        <v>1799</v>
      </c>
      <c r="HG56" s="191">
        <v>2314.25</v>
      </c>
      <c r="HH56" s="191">
        <v>3328.5</v>
      </c>
      <c r="HI56" s="191">
        <v>4128.1499999999996</v>
      </c>
      <c r="HJ56" s="191">
        <v>5539.35</v>
      </c>
      <c r="HK56" s="191">
        <v>5617.35</v>
      </c>
      <c r="HL56" s="191">
        <v>4602.7</v>
      </c>
      <c r="HM56" s="191">
        <v>6255</v>
      </c>
      <c r="HN56" s="191">
        <f t="shared" si="124"/>
        <v>48601.349999999991</v>
      </c>
      <c r="HO56" s="191">
        <v>3259.5</v>
      </c>
      <c r="HP56" s="191">
        <v>6701.4979999999996</v>
      </c>
      <c r="HQ56" s="191">
        <v>9585.1</v>
      </c>
      <c r="HR56" s="191">
        <v>8627.0499999999993</v>
      </c>
      <c r="HS56" s="191">
        <v>8942.1</v>
      </c>
      <c r="HT56" s="191">
        <v>5746.2</v>
      </c>
      <c r="HU56" s="410">
        <v>5350.3</v>
      </c>
      <c r="HV56" s="389">
        <v>7959.72</v>
      </c>
      <c r="HW56" s="389">
        <v>9735</v>
      </c>
      <c r="HX56" s="389">
        <v>8677.4500000000007</v>
      </c>
      <c r="HY56" s="389">
        <v>11350</v>
      </c>
      <c r="HZ56" s="411">
        <v>9677.75</v>
      </c>
      <c r="IA56" s="191">
        <v>8322</v>
      </c>
      <c r="IB56" s="191">
        <v>6613</v>
      </c>
      <c r="IC56" s="191">
        <v>4504.05</v>
      </c>
      <c r="ID56" s="191">
        <v>5430</v>
      </c>
      <c r="IE56" s="191">
        <v>8031.7</v>
      </c>
      <c r="IF56" s="191">
        <v>9379.7999999999993</v>
      </c>
      <c r="IG56" s="410">
        <v>10364.699999999999</v>
      </c>
      <c r="IH56" s="410">
        <v>9914.75</v>
      </c>
      <c r="II56" s="410">
        <v>11622</v>
      </c>
      <c r="IJ56" s="410">
        <v>12680</v>
      </c>
      <c r="IK56" s="410">
        <v>11829.7</v>
      </c>
      <c r="IL56" s="410">
        <v>9986</v>
      </c>
      <c r="IM56" s="410">
        <v>8910</v>
      </c>
      <c r="IN56" s="410">
        <v>8210</v>
      </c>
      <c r="IO56" s="410">
        <v>11400</v>
      </c>
      <c r="IP56" s="410">
        <v>12704</v>
      </c>
      <c r="IQ56" s="410">
        <v>9896</v>
      </c>
      <c r="IR56" s="410">
        <v>9264</v>
      </c>
      <c r="IS56" s="410">
        <v>11255</v>
      </c>
      <c r="IT56" s="410">
        <v>9790</v>
      </c>
      <c r="IU56" s="410">
        <v>10793.6</v>
      </c>
      <c r="IV56" s="410">
        <v>13355.35</v>
      </c>
      <c r="IW56" s="410">
        <v>11059.8</v>
      </c>
      <c r="IX56" s="410">
        <v>8117</v>
      </c>
      <c r="IY56" s="410">
        <v>12768</v>
      </c>
      <c r="IZ56" s="410">
        <v>12257.65</v>
      </c>
      <c r="JA56" s="410"/>
      <c r="JB56" s="410"/>
      <c r="JC56" s="410"/>
      <c r="JD56" s="410"/>
      <c r="JE56" s="410"/>
      <c r="JF56" s="410"/>
      <c r="JG56" s="410"/>
      <c r="JH56" s="410"/>
      <c r="JI56" s="410"/>
      <c r="JJ56" s="410"/>
      <c r="JK56" s="410">
        <f t="shared" si="129"/>
        <v>17120</v>
      </c>
      <c r="JL56" s="410">
        <f t="shared" si="130"/>
        <v>25025.65</v>
      </c>
      <c r="JM56" s="11"/>
      <c r="JN56" s="11"/>
      <c r="JO56" s="11"/>
      <c r="JP56" s="11"/>
      <c r="JQ56" s="11"/>
      <c r="JR56" s="11"/>
      <c r="JS56" s="11"/>
      <c r="JT56" s="11"/>
      <c r="JU56" s="11"/>
    </row>
    <row r="57" spans="1:281" x14ac:dyDescent="0.25">
      <c r="A57" s="91" t="s">
        <v>61</v>
      </c>
      <c r="B57" s="34"/>
      <c r="C57" s="34"/>
      <c r="D57" s="34"/>
      <c r="E57" s="79">
        <v>189</v>
      </c>
      <c r="F57" s="79">
        <v>167</v>
      </c>
      <c r="G57" s="79">
        <v>326</v>
      </c>
      <c r="H57" s="79">
        <v>408</v>
      </c>
      <c r="I57" s="79">
        <v>285</v>
      </c>
      <c r="J57" s="79">
        <v>390</v>
      </c>
      <c r="K57" s="79">
        <v>874</v>
      </c>
      <c r="L57" s="79">
        <v>321</v>
      </c>
      <c r="M57" s="79">
        <v>55</v>
      </c>
      <c r="N57" s="92">
        <v>22</v>
      </c>
      <c r="O57" s="101" t="s">
        <v>80</v>
      </c>
      <c r="P57" s="101" t="s">
        <v>80</v>
      </c>
      <c r="Q57" s="101" t="s">
        <v>80</v>
      </c>
      <c r="R57" s="101" t="s">
        <v>80</v>
      </c>
      <c r="S57" s="113" t="s">
        <v>29</v>
      </c>
      <c r="T57" s="113" t="s">
        <v>29</v>
      </c>
      <c r="U57" s="103" t="s">
        <v>66</v>
      </c>
      <c r="V57" s="104" t="s">
        <v>29</v>
      </c>
      <c r="W57" s="103" t="s">
        <v>80</v>
      </c>
      <c r="X57" s="107" t="s">
        <v>29</v>
      </c>
      <c r="Y57" s="115" t="s">
        <v>29</v>
      </c>
      <c r="Z57" s="107" t="s">
        <v>29</v>
      </c>
      <c r="AA57" s="107" t="s">
        <v>29</v>
      </c>
      <c r="AB57" s="103" t="s">
        <v>80</v>
      </c>
      <c r="AC57" s="103" t="s">
        <v>80</v>
      </c>
      <c r="AD57" s="104" t="s">
        <v>29</v>
      </c>
      <c r="AE57" s="108" t="s">
        <v>80</v>
      </c>
      <c r="AF57" s="105" t="s">
        <v>29</v>
      </c>
      <c r="AG57" s="105" t="s">
        <v>29</v>
      </c>
      <c r="AH57" s="111" t="s">
        <v>29</v>
      </c>
      <c r="AI57" s="101" t="s">
        <v>29</v>
      </c>
      <c r="AJ57" s="101" t="s">
        <v>29</v>
      </c>
      <c r="AK57" s="101" t="s">
        <v>29</v>
      </c>
      <c r="AL57" s="101" t="s">
        <v>29</v>
      </c>
      <c r="AM57" s="101" t="s">
        <v>29</v>
      </c>
      <c r="AN57" s="101" t="s">
        <v>29</v>
      </c>
      <c r="AO57" s="101" t="s">
        <v>29</v>
      </c>
      <c r="AP57" s="101" t="s">
        <v>29</v>
      </c>
      <c r="AQ57" s="101" t="s">
        <v>29</v>
      </c>
      <c r="AR57" s="101" t="s">
        <v>29</v>
      </c>
      <c r="AS57" s="101" t="s">
        <v>29</v>
      </c>
      <c r="AT57" s="101" t="s">
        <v>29</v>
      </c>
      <c r="AU57" s="101" t="s">
        <v>29</v>
      </c>
      <c r="AV57" s="101" t="s">
        <v>29</v>
      </c>
      <c r="AW57" s="101" t="s">
        <v>29</v>
      </c>
      <c r="AX57" s="101" t="s">
        <v>29</v>
      </c>
      <c r="AY57" s="101" t="s">
        <v>29</v>
      </c>
      <c r="AZ57" s="101" t="s">
        <v>29</v>
      </c>
      <c r="BA57" s="101" t="s">
        <v>29</v>
      </c>
      <c r="BB57" s="101">
        <v>0</v>
      </c>
      <c r="BC57" s="101">
        <v>0</v>
      </c>
      <c r="BD57" s="101">
        <v>0</v>
      </c>
      <c r="BE57" s="101">
        <v>0</v>
      </c>
      <c r="BF57" s="191">
        <v>0</v>
      </c>
      <c r="BG57" s="191">
        <v>0</v>
      </c>
      <c r="BH57" s="191">
        <v>0</v>
      </c>
      <c r="BI57" s="191">
        <v>0</v>
      </c>
      <c r="BJ57" s="191">
        <v>0</v>
      </c>
      <c r="BK57" s="191">
        <v>0</v>
      </c>
      <c r="BL57" s="191">
        <v>0</v>
      </c>
      <c r="BM57" s="191">
        <v>0</v>
      </c>
      <c r="BN57" s="191">
        <v>0</v>
      </c>
      <c r="BO57" s="191">
        <v>0</v>
      </c>
      <c r="BP57" s="191">
        <v>0</v>
      </c>
      <c r="BQ57" s="191">
        <v>0</v>
      </c>
      <c r="BR57" s="191">
        <v>0</v>
      </c>
      <c r="BS57" s="191">
        <v>0</v>
      </c>
      <c r="BT57" s="191">
        <v>0</v>
      </c>
      <c r="BU57" s="191">
        <v>0</v>
      </c>
      <c r="BV57" s="191">
        <v>0</v>
      </c>
      <c r="BW57" s="191">
        <v>0</v>
      </c>
      <c r="BX57" s="191">
        <v>0</v>
      </c>
      <c r="BY57" s="191">
        <v>0</v>
      </c>
      <c r="BZ57" s="191">
        <v>0</v>
      </c>
      <c r="CA57" s="191">
        <v>0</v>
      </c>
      <c r="CB57" s="191">
        <f t="shared" ref="CB57:CV57" si="142">JV57</f>
        <v>0</v>
      </c>
      <c r="CC57" s="191">
        <f t="shared" si="142"/>
        <v>0</v>
      </c>
      <c r="CD57" s="191">
        <f t="shared" si="142"/>
        <v>0</v>
      </c>
      <c r="CE57" s="191">
        <f t="shared" si="142"/>
        <v>0</v>
      </c>
      <c r="CF57" s="191">
        <f t="shared" si="142"/>
        <v>0</v>
      </c>
      <c r="CG57" s="191">
        <f t="shared" si="142"/>
        <v>0</v>
      </c>
      <c r="CH57" s="191">
        <f t="shared" si="142"/>
        <v>0</v>
      </c>
      <c r="CI57" s="191">
        <f t="shared" si="142"/>
        <v>0</v>
      </c>
      <c r="CJ57" s="191">
        <f t="shared" si="142"/>
        <v>0</v>
      </c>
      <c r="CK57" s="191">
        <f t="shared" si="142"/>
        <v>0</v>
      </c>
      <c r="CL57" s="191">
        <f t="shared" si="142"/>
        <v>0</v>
      </c>
      <c r="CM57" s="191">
        <f t="shared" si="142"/>
        <v>0</v>
      </c>
      <c r="CN57" s="191">
        <f t="shared" si="142"/>
        <v>0</v>
      </c>
      <c r="CO57" s="191">
        <f t="shared" si="142"/>
        <v>0</v>
      </c>
      <c r="CP57" s="191">
        <f t="shared" si="142"/>
        <v>0</v>
      </c>
      <c r="CQ57" s="191">
        <f t="shared" si="142"/>
        <v>0</v>
      </c>
      <c r="CR57" s="191">
        <f t="shared" si="142"/>
        <v>0</v>
      </c>
      <c r="CS57" s="191">
        <f t="shared" si="142"/>
        <v>0</v>
      </c>
      <c r="CT57" s="191">
        <f t="shared" si="142"/>
        <v>0</v>
      </c>
      <c r="CU57" s="191">
        <f t="shared" si="142"/>
        <v>0</v>
      </c>
      <c r="CV57" s="191">
        <f t="shared" si="142"/>
        <v>0</v>
      </c>
      <c r="CW57" s="191">
        <f t="shared" ref="CW57:EA57" si="143">KQ57</f>
        <v>0</v>
      </c>
      <c r="CX57" s="191">
        <f t="shared" si="143"/>
        <v>0</v>
      </c>
      <c r="CY57" s="191">
        <f t="shared" si="143"/>
        <v>0</v>
      </c>
      <c r="CZ57" s="191">
        <f t="shared" si="143"/>
        <v>0</v>
      </c>
      <c r="DA57" s="191">
        <f t="shared" si="143"/>
        <v>0</v>
      </c>
      <c r="DB57" s="191">
        <f t="shared" si="143"/>
        <v>0</v>
      </c>
      <c r="DC57" s="191">
        <f t="shared" si="143"/>
        <v>0</v>
      </c>
      <c r="DD57" s="191">
        <f t="shared" si="143"/>
        <v>0</v>
      </c>
      <c r="DE57" s="191">
        <f t="shared" si="143"/>
        <v>0</v>
      </c>
      <c r="DF57" s="191">
        <f t="shared" si="143"/>
        <v>0</v>
      </c>
      <c r="DG57" s="191">
        <f t="shared" si="143"/>
        <v>0</v>
      </c>
      <c r="DH57" s="191">
        <f t="shared" si="143"/>
        <v>0</v>
      </c>
      <c r="DI57" s="191">
        <f t="shared" si="143"/>
        <v>0</v>
      </c>
      <c r="DJ57" s="191">
        <f t="shared" si="143"/>
        <v>0</v>
      </c>
      <c r="DK57" s="191">
        <f t="shared" si="143"/>
        <v>0</v>
      </c>
      <c r="DL57" s="191">
        <f t="shared" si="143"/>
        <v>0</v>
      </c>
      <c r="DM57" s="191">
        <f t="shared" si="143"/>
        <v>0</v>
      </c>
      <c r="DN57" s="191">
        <f t="shared" si="143"/>
        <v>0</v>
      </c>
      <c r="DO57" s="191">
        <f t="shared" si="143"/>
        <v>0</v>
      </c>
      <c r="DP57" s="191">
        <f t="shared" si="143"/>
        <v>0</v>
      </c>
      <c r="DQ57" s="191">
        <f t="shared" si="143"/>
        <v>0</v>
      </c>
      <c r="DR57" s="191">
        <f t="shared" si="143"/>
        <v>0</v>
      </c>
      <c r="DS57" s="191">
        <f t="shared" si="143"/>
        <v>0</v>
      </c>
      <c r="DT57" s="191">
        <f t="shared" si="143"/>
        <v>0</v>
      </c>
      <c r="DU57" s="191">
        <f t="shared" si="143"/>
        <v>0</v>
      </c>
      <c r="DV57" s="191">
        <f t="shared" si="143"/>
        <v>0</v>
      </c>
      <c r="DW57" s="191">
        <f t="shared" si="143"/>
        <v>0</v>
      </c>
      <c r="DX57" s="191">
        <f t="shared" si="143"/>
        <v>0</v>
      </c>
      <c r="DY57" s="191">
        <f t="shared" si="143"/>
        <v>0</v>
      </c>
      <c r="DZ57" s="191">
        <f t="shared" si="143"/>
        <v>0</v>
      </c>
      <c r="EA57" s="191">
        <f t="shared" si="143"/>
        <v>0</v>
      </c>
      <c r="EB57" s="191">
        <f t="shared" ref="EB57:GM57" si="144">LV57</f>
        <v>0</v>
      </c>
      <c r="EC57" s="191">
        <f t="shared" si="144"/>
        <v>0</v>
      </c>
      <c r="ED57" s="191">
        <f t="shared" si="144"/>
        <v>0</v>
      </c>
      <c r="EE57" s="191">
        <f t="shared" si="144"/>
        <v>0</v>
      </c>
      <c r="EF57" s="191">
        <f t="shared" si="144"/>
        <v>0</v>
      </c>
      <c r="EG57" s="191">
        <f t="shared" si="144"/>
        <v>0</v>
      </c>
      <c r="EH57" s="191">
        <f t="shared" si="144"/>
        <v>0</v>
      </c>
      <c r="EI57" s="191">
        <f t="shared" si="144"/>
        <v>0</v>
      </c>
      <c r="EJ57" s="191">
        <f t="shared" si="144"/>
        <v>0</v>
      </c>
      <c r="EK57" s="191">
        <f t="shared" si="144"/>
        <v>0</v>
      </c>
      <c r="EL57" s="191">
        <f t="shared" si="144"/>
        <v>0</v>
      </c>
      <c r="EM57" s="191">
        <f t="shared" si="144"/>
        <v>0</v>
      </c>
      <c r="EN57" s="191">
        <f t="shared" si="144"/>
        <v>0</v>
      </c>
      <c r="EO57" s="191">
        <f t="shared" si="144"/>
        <v>0</v>
      </c>
      <c r="EP57" s="191">
        <f t="shared" si="144"/>
        <v>0</v>
      </c>
      <c r="EQ57" s="191">
        <f t="shared" si="144"/>
        <v>0</v>
      </c>
      <c r="ER57" s="191">
        <f t="shared" si="144"/>
        <v>0</v>
      </c>
      <c r="ES57" s="191">
        <f t="shared" si="144"/>
        <v>0</v>
      </c>
      <c r="ET57" s="191">
        <f t="shared" si="144"/>
        <v>0</v>
      </c>
      <c r="EU57" s="191">
        <f t="shared" si="144"/>
        <v>0</v>
      </c>
      <c r="EV57" s="191">
        <f t="shared" si="144"/>
        <v>0</v>
      </c>
      <c r="EW57" s="191">
        <f t="shared" si="144"/>
        <v>0</v>
      </c>
      <c r="EX57" s="191">
        <f t="shared" si="144"/>
        <v>0</v>
      </c>
      <c r="EY57" s="191">
        <f t="shared" si="144"/>
        <v>0</v>
      </c>
      <c r="EZ57" s="191">
        <f t="shared" si="144"/>
        <v>0</v>
      </c>
      <c r="FA57" s="191">
        <f t="shared" si="144"/>
        <v>0</v>
      </c>
      <c r="FB57" s="191">
        <f t="shared" si="144"/>
        <v>0</v>
      </c>
      <c r="FC57" s="191">
        <f t="shared" si="144"/>
        <v>0</v>
      </c>
      <c r="FD57" s="191">
        <f t="shared" si="144"/>
        <v>0</v>
      </c>
      <c r="FE57" s="191">
        <f t="shared" si="144"/>
        <v>0</v>
      </c>
      <c r="FF57" s="191">
        <f t="shared" si="144"/>
        <v>0</v>
      </c>
      <c r="FG57" s="191">
        <f t="shared" si="144"/>
        <v>0</v>
      </c>
      <c r="FH57" s="191">
        <f t="shared" si="144"/>
        <v>0</v>
      </c>
      <c r="FI57" s="191">
        <f t="shared" si="144"/>
        <v>0</v>
      </c>
      <c r="FJ57" s="191">
        <f t="shared" si="144"/>
        <v>0</v>
      </c>
      <c r="FK57" s="191">
        <f t="shared" si="144"/>
        <v>0</v>
      </c>
      <c r="FL57" s="191">
        <f t="shared" si="144"/>
        <v>0</v>
      </c>
      <c r="FM57" s="191">
        <f t="shared" si="144"/>
        <v>0</v>
      </c>
      <c r="FN57" s="191">
        <f t="shared" si="144"/>
        <v>0</v>
      </c>
      <c r="FO57" s="191">
        <f t="shared" si="144"/>
        <v>0</v>
      </c>
      <c r="FP57" s="191">
        <f t="shared" si="144"/>
        <v>0</v>
      </c>
      <c r="FQ57" s="191">
        <f t="shared" si="144"/>
        <v>0</v>
      </c>
      <c r="FR57" s="191">
        <f t="shared" si="144"/>
        <v>0</v>
      </c>
      <c r="FS57" s="191">
        <f t="shared" si="144"/>
        <v>0</v>
      </c>
      <c r="FT57" s="191">
        <f t="shared" si="144"/>
        <v>0</v>
      </c>
      <c r="FU57" s="191">
        <f t="shared" si="144"/>
        <v>0</v>
      </c>
      <c r="FV57" s="191">
        <f t="shared" si="144"/>
        <v>0</v>
      </c>
      <c r="FW57" s="191">
        <f t="shared" si="144"/>
        <v>0</v>
      </c>
      <c r="FX57" s="191">
        <f t="shared" si="144"/>
        <v>0</v>
      </c>
      <c r="FY57" s="191">
        <f t="shared" si="144"/>
        <v>0</v>
      </c>
      <c r="FZ57" s="191">
        <f t="shared" si="144"/>
        <v>0</v>
      </c>
      <c r="GA57" s="191">
        <f t="shared" si="144"/>
        <v>0</v>
      </c>
      <c r="GB57" s="191">
        <f t="shared" si="144"/>
        <v>0</v>
      </c>
      <c r="GC57" s="191">
        <f t="shared" si="144"/>
        <v>0</v>
      </c>
      <c r="GD57" s="191">
        <f t="shared" si="144"/>
        <v>0</v>
      </c>
      <c r="GE57" s="191">
        <f t="shared" si="144"/>
        <v>0</v>
      </c>
      <c r="GF57" s="191">
        <f t="shared" si="144"/>
        <v>0</v>
      </c>
      <c r="GG57" s="191">
        <f t="shared" si="144"/>
        <v>0</v>
      </c>
      <c r="GH57" s="191">
        <f t="shared" si="144"/>
        <v>0</v>
      </c>
      <c r="GI57" s="191">
        <f t="shared" si="144"/>
        <v>0</v>
      </c>
      <c r="GJ57" s="191">
        <f t="shared" si="144"/>
        <v>0</v>
      </c>
      <c r="GK57" s="191">
        <f t="shared" si="144"/>
        <v>0</v>
      </c>
      <c r="GL57" s="191">
        <f t="shared" si="144"/>
        <v>0</v>
      </c>
      <c r="GM57" s="191">
        <f t="shared" si="144"/>
        <v>0</v>
      </c>
      <c r="GN57" s="191">
        <f t="shared" ref="GN57:HA57" si="145">OH57</f>
        <v>0</v>
      </c>
      <c r="GO57" s="191">
        <f t="shared" si="145"/>
        <v>0</v>
      </c>
      <c r="GP57" s="191">
        <f t="shared" si="145"/>
        <v>0</v>
      </c>
      <c r="GQ57" s="191">
        <f t="shared" si="145"/>
        <v>0</v>
      </c>
      <c r="GR57" s="191">
        <f t="shared" si="145"/>
        <v>0</v>
      </c>
      <c r="GS57" s="191">
        <f t="shared" si="145"/>
        <v>0</v>
      </c>
      <c r="GT57" s="191">
        <f t="shared" si="145"/>
        <v>0</v>
      </c>
      <c r="GU57" s="191">
        <f t="shared" si="145"/>
        <v>0</v>
      </c>
      <c r="GV57" s="191">
        <f t="shared" si="145"/>
        <v>0</v>
      </c>
      <c r="GW57" s="191">
        <f t="shared" si="145"/>
        <v>0</v>
      </c>
      <c r="GX57" s="191">
        <f t="shared" si="145"/>
        <v>0</v>
      </c>
      <c r="GY57" s="191">
        <f t="shared" si="145"/>
        <v>0</v>
      </c>
      <c r="GZ57" s="191">
        <f t="shared" si="145"/>
        <v>0</v>
      </c>
      <c r="HA57" s="191">
        <f t="shared" si="145"/>
        <v>0</v>
      </c>
      <c r="HB57" s="191">
        <f t="shared" ref="HB57:HH57" si="146">OW57</f>
        <v>0</v>
      </c>
      <c r="HC57" s="191">
        <f t="shared" si="146"/>
        <v>0</v>
      </c>
      <c r="HD57" s="191">
        <f t="shared" si="146"/>
        <v>0</v>
      </c>
      <c r="HE57" s="191">
        <f t="shared" si="146"/>
        <v>0</v>
      </c>
      <c r="HF57" s="191">
        <f t="shared" si="146"/>
        <v>0</v>
      </c>
      <c r="HG57" s="191">
        <f t="shared" si="146"/>
        <v>0</v>
      </c>
      <c r="HH57" s="191">
        <f t="shared" si="146"/>
        <v>0</v>
      </c>
      <c r="HI57" s="191">
        <f t="shared" ref="HI57:HM57" si="147">PD57</f>
        <v>0</v>
      </c>
      <c r="HJ57" s="191">
        <f t="shared" si="147"/>
        <v>0</v>
      </c>
      <c r="HK57" s="191">
        <v>0</v>
      </c>
      <c r="HL57" s="191">
        <f t="shared" si="147"/>
        <v>0</v>
      </c>
      <c r="HM57" s="191">
        <f t="shared" si="147"/>
        <v>0</v>
      </c>
      <c r="HN57" s="191">
        <f t="shared" si="124"/>
        <v>0</v>
      </c>
      <c r="HO57" s="191">
        <v>0</v>
      </c>
      <c r="HP57" s="191">
        <v>0</v>
      </c>
      <c r="HQ57" s="191">
        <v>0</v>
      </c>
      <c r="HR57" s="191">
        <v>0</v>
      </c>
      <c r="HS57" s="191">
        <v>0</v>
      </c>
      <c r="HT57" s="191">
        <v>0</v>
      </c>
      <c r="HU57" s="410">
        <v>0</v>
      </c>
      <c r="HV57" s="191">
        <v>0</v>
      </c>
      <c r="HW57" s="356">
        <v>0</v>
      </c>
      <c r="HX57" s="356">
        <v>0</v>
      </c>
      <c r="HY57" s="356">
        <v>0</v>
      </c>
      <c r="HZ57" s="414">
        <v>0</v>
      </c>
      <c r="IA57" s="191">
        <v>0</v>
      </c>
      <c r="IB57" s="191">
        <v>0</v>
      </c>
      <c r="IC57" s="191">
        <v>0</v>
      </c>
      <c r="ID57" s="191">
        <v>0</v>
      </c>
      <c r="IE57" s="191">
        <v>0</v>
      </c>
      <c r="IF57" s="191">
        <v>0</v>
      </c>
      <c r="IG57" s="410">
        <v>0</v>
      </c>
      <c r="IH57" s="410">
        <v>0</v>
      </c>
      <c r="II57" s="410">
        <v>0</v>
      </c>
      <c r="IJ57" s="410">
        <v>0</v>
      </c>
      <c r="IK57" s="410">
        <v>0</v>
      </c>
      <c r="IL57" s="410">
        <v>0</v>
      </c>
      <c r="IM57" s="410">
        <v>0</v>
      </c>
      <c r="IN57" s="410">
        <v>0</v>
      </c>
      <c r="IO57" s="410">
        <v>0</v>
      </c>
      <c r="IP57" s="410">
        <v>0</v>
      </c>
      <c r="IQ57" s="410">
        <v>0</v>
      </c>
      <c r="IR57" s="410">
        <v>0</v>
      </c>
      <c r="IS57" s="410">
        <v>0</v>
      </c>
      <c r="IT57" s="410">
        <v>0</v>
      </c>
      <c r="IU57" s="410">
        <v>0</v>
      </c>
      <c r="IV57" s="410">
        <v>0</v>
      </c>
      <c r="IW57" s="410">
        <v>0</v>
      </c>
      <c r="IX57" s="410">
        <v>0</v>
      </c>
      <c r="IY57" s="410">
        <v>0</v>
      </c>
      <c r="IZ57" s="410">
        <v>0</v>
      </c>
      <c r="JA57" s="410"/>
      <c r="JB57" s="410"/>
      <c r="JC57" s="410"/>
      <c r="JD57" s="410"/>
      <c r="JE57" s="410"/>
      <c r="JF57" s="410"/>
      <c r="JG57" s="410"/>
      <c r="JH57" s="410"/>
      <c r="JI57" s="410"/>
      <c r="JJ57" s="410"/>
      <c r="JK57" s="410">
        <f t="shared" si="129"/>
        <v>0</v>
      </c>
      <c r="JL57" s="410">
        <f t="shared" si="130"/>
        <v>0</v>
      </c>
      <c r="JM57" s="10"/>
      <c r="JN57" s="10"/>
      <c r="JO57" s="10"/>
      <c r="JP57" s="10"/>
      <c r="JQ57" s="10"/>
      <c r="JR57" s="10"/>
      <c r="JS57" s="10"/>
      <c r="JT57" s="10"/>
      <c r="JU57" s="11"/>
    </row>
    <row r="58" spans="1:281" x14ac:dyDescent="0.25">
      <c r="A58" s="91" t="s">
        <v>62</v>
      </c>
      <c r="B58" s="34"/>
      <c r="C58" s="34"/>
      <c r="D58" s="34"/>
      <c r="E58" s="79">
        <v>688</v>
      </c>
      <c r="F58" s="79">
        <v>492</v>
      </c>
      <c r="G58" s="79">
        <v>1025</v>
      </c>
      <c r="H58" s="79">
        <v>890</v>
      </c>
      <c r="I58" s="79">
        <v>1009</v>
      </c>
      <c r="J58" s="79">
        <v>1095</v>
      </c>
      <c r="K58" s="79">
        <v>1424</v>
      </c>
      <c r="L58" s="79">
        <v>1175</v>
      </c>
      <c r="M58" s="79">
        <v>903</v>
      </c>
      <c r="N58" s="92">
        <v>506</v>
      </c>
      <c r="O58" s="93">
        <v>594</v>
      </c>
      <c r="P58" s="92">
        <v>1014</v>
      </c>
      <c r="Q58" s="93">
        <v>605</v>
      </c>
      <c r="R58" s="93">
        <v>1066.883</v>
      </c>
      <c r="S58" s="92">
        <v>102</v>
      </c>
      <c r="T58" s="92">
        <v>44</v>
      </c>
      <c r="U58" s="69">
        <v>18</v>
      </c>
      <c r="V58" s="69">
        <v>122</v>
      </c>
      <c r="W58" s="93">
        <v>160</v>
      </c>
      <c r="X58" s="93">
        <v>112</v>
      </c>
      <c r="Y58" s="94">
        <v>58</v>
      </c>
      <c r="Z58" s="93">
        <f>56+35</f>
        <v>91</v>
      </c>
      <c r="AA58" s="93">
        <v>75</v>
      </c>
      <c r="AB58" s="93">
        <v>105</v>
      </c>
      <c r="AC58" s="94">
        <f>58+16</f>
        <v>74</v>
      </c>
      <c r="AD58" s="93">
        <f>87.933+17.95</f>
        <v>105.88300000000001</v>
      </c>
      <c r="AE58" s="94">
        <f>SUM(S58:AD58)</f>
        <v>1066.883</v>
      </c>
      <c r="AF58" s="93">
        <v>1505.8109999999999</v>
      </c>
      <c r="AG58" s="93">
        <v>2097</v>
      </c>
      <c r="AH58" s="94">
        <v>1310</v>
      </c>
      <c r="AI58" s="94">
        <v>1064</v>
      </c>
      <c r="AJ58" s="94">
        <v>899</v>
      </c>
      <c r="AK58" s="94">
        <v>653</v>
      </c>
      <c r="AL58" s="94">
        <v>923.34900000000005</v>
      </c>
      <c r="AM58" s="94">
        <v>1869.6519999999998</v>
      </c>
      <c r="AN58" s="101">
        <v>404.9</v>
      </c>
      <c r="AO58" s="101">
        <v>57.75</v>
      </c>
      <c r="AP58" s="69">
        <v>131.75</v>
      </c>
      <c r="AQ58" s="101">
        <v>72.75</v>
      </c>
      <c r="AR58" s="101">
        <v>278.71600000000001</v>
      </c>
      <c r="AS58" s="69">
        <v>24.95</v>
      </c>
      <c r="AT58" s="101">
        <v>73.099999999999994</v>
      </c>
      <c r="AU58" s="101">
        <v>259.55</v>
      </c>
      <c r="AV58" s="69">
        <v>254.43</v>
      </c>
      <c r="AW58" s="69">
        <v>254.70599999999999</v>
      </c>
      <c r="AX58" s="69" t="s">
        <v>29</v>
      </c>
      <c r="AY58" s="101">
        <v>57.05</v>
      </c>
      <c r="AZ58" s="69">
        <f>SUM(AN58:AY58)</f>
        <v>1869.6519999999998</v>
      </c>
      <c r="BA58" s="69">
        <v>1249.31</v>
      </c>
      <c r="BB58" s="69">
        <v>740.827</v>
      </c>
      <c r="BC58" s="69">
        <v>944.50700000000006</v>
      </c>
      <c r="BD58" s="69">
        <v>403.279</v>
      </c>
      <c r="BE58" s="69">
        <v>428.51099999999997</v>
      </c>
      <c r="BF58" s="191">
        <v>454.30999999999995</v>
      </c>
      <c r="BG58" s="191">
        <v>70.617999999999995</v>
      </c>
      <c r="BH58" s="191">
        <v>121.979</v>
      </c>
      <c r="BI58" s="191">
        <v>139.709</v>
      </c>
      <c r="BJ58" s="191">
        <v>44.064999999999998</v>
      </c>
      <c r="BK58" s="191">
        <v>10.966000000000001</v>
      </c>
      <c r="BL58" s="191">
        <v>10.26</v>
      </c>
      <c r="BM58" s="191">
        <v>0.66</v>
      </c>
      <c r="BN58" s="191">
        <v>21.839999999999996</v>
      </c>
      <c r="BO58" s="191">
        <v>229.82400000000001</v>
      </c>
      <c r="BP58" s="191">
        <v>0</v>
      </c>
      <c r="BQ58" s="191">
        <v>0</v>
      </c>
      <c r="BR58" s="191">
        <v>0.14000000000000001</v>
      </c>
      <c r="BS58" s="191">
        <v>0</v>
      </c>
      <c r="BT58" s="191">
        <v>5.6</v>
      </c>
      <c r="BU58" s="191">
        <v>0</v>
      </c>
      <c r="BV58" s="191">
        <v>5.7</v>
      </c>
      <c r="BW58" s="191">
        <v>0</v>
      </c>
      <c r="BX58" s="191">
        <v>8.6</v>
      </c>
      <c r="BY58" s="191">
        <v>0</v>
      </c>
      <c r="BZ58" s="191">
        <v>0</v>
      </c>
      <c r="CA58" s="191">
        <v>21.839999999999996</v>
      </c>
      <c r="CB58" s="191">
        <f>SUM(BP58:CA58)</f>
        <v>41.879999999999995</v>
      </c>
      <c r="CC58" s="191">
        <v>110.4</v>
      </c>
      <c r="CD58" s="191">
        <v>25.9</v>
      </c>
      <c r="CE58" s="191">
        <v>147.44999999999999</v>
      </c>
      <c r="CF58" s="191">
        <v>28</v>
      </c>
      <c r="CG58" s="191">
        <v>4</v>
      </c>
      <c r="CH58" s="191">
        <v>46.35</v>
      </c>
      <c r="CI58" s="191">
        <v>43.5</v>
      </c>
      <c r="CJ58" s="191">
        <v>60.05</v>
      </c>
      <c r="CK58" s="191">
        <v>59.35</v>
      </c>
      <c r="CL58" s="191">
        <v>48</v>
      </c>
      <c r="CM58" s="191">
        <v>93.945999999999998</v>
      </c>
      <c r="CN58" s="191">
        <v>73.881</v>
      </c>
      <c r="CO58" s="191">
        <f>SUM(CC58:CN58)</f>
        <v>740.827</v>
      </c>
      <c r="CP58" s="191">
        <v>169.095</v>
      </c>
      <c r="CQ58" s="191">
        <v>122.83499999999999</v>
      </c>
      <c r="CR58" s="191">
        <v>113.92</v>
      </c>
      <c r="CS58" s="191">
        <v>100.57899999999999</v>
      </c>
      <c r="CT58" s="191">
        <v>116.13500000000001</v>
      </c>
      <c r="CU58" s="191">
        <v>63.087000000000003</v>
      </c>
      <c r="CV58" s="191">
        <v>1.25</v>
      </c>
      <c r="CW58" s="191">
        <v>80.37</v>
      </c>
      <c r="CX58" s="191">
        <v>22.533000000000001</v>
      </c>
      <c r="CY58" s="191">
        <v>76.040000000000006</v>
      </c>
      <c r="CZ58" s="191">
        <v>29.513000000000002</v>
      </c>
      <c r="DA58" s="191">
        <v>49.15</v>
      </c>
      <c r="DB58" s="191">
        <f>SUM(CP58:DA58)</f>
        <v>944.50700000000006</v>
      </c>
      <c r="DC58" s="191">
        <v>34.042999999999999</v>
      </c>
      <c r="DD58" s="191">
        <v>5.7249999999999996</v>
      </c>
      <c r="DE58" s="191">
        <v>101.759</v>
      </c>
      <c r="DF58" s="191">
        <v>55.08</v>
      </c>
      <c r="DG58" s="191">
        <v>1.6180000000000001</v>
      </c>
      <c r="DH58" s="191">
        <v>24.748000000000001</v>
      </c>
      <c r="DI58" s="191">
        <v>22.216999999999999</v>
      </c>
      <c r="DJ58" s="191">
        <v>5.9</v>
      </c>
      <c r="DK58" s="191">
        <v>81.319999999999993</v>
      </c>
      <c r="DL58" s="191">
        <v>35.17</v>
      </c>
      <c r="DM58" s="191">
        <v>1.238</v>
      </c>
      <c r="DN58" s="191">
        <v>34.460999999999999</v>
      </c>
      <c r="DO58" s="191">
        <f>SUM(DC58:DN58)</f>
        <v>403.279</v>
      </c>
      <c r="DP58" s="191">
        <v>39.098999999999997</v>
      </c>
      <c r="DQ58" s="191">
        <v>5.0720000000000001</v>
      </c>
      <c r="DR58" s="191">
        <v>28.093</v>
      </c>
      <c r="DS58" s="191">
        <v>39.020000000000003</v>
      </c>
      <c r="DT58" s="191">
        <v>24.5</v>
      </c>
      <c r="DU58" s="191">
        <v>36.65</v>
      </c>
      <c r="DV58" s="191">
        <v>5.2619999999999996</v>
      </c>
      <c r="DW58" s="191" t="s">
        <v>29</v>
      </c>
      <c r="DX58" s="191">
        <v>49.25</v>
      </c>
      <c r="DY58" s="191">
        <v>28.98</v>
      </c>
      <c r="DZ58" s="191">
        <f>78.225</f>
        <v>78.224999999999994</v>
      </c>
      <c r="EA58" s="191">
        <v>94.36</v>
      </c>
      <c r="EB58" s="191">
        <f>SUM(DP58:EA58)</f>
        <v>428.51099999999997</v>
      </c>
      <c r="EC58" s="191">
        <v>102.23</v>
      </c>
      <c r="ED58" s="191">
        <v>44.453000000000003</v>
      </c>
      <c r="EE58" s="191">
        <v>28.266999999999999</v>
      </c>
      <c r="EF58" s="191">
        <v>56.628</v>
      </c>
      <c r="EG58" s="191">
        <v>8.0890000000000004</v>
      </c>
      <c r="EH58" s="191">
        <v>33.880000000000003</v>
      </c>
      <c r="EI58" s="191">
        <v>67.134999999999991</v>
      </c>
      <c r="EJ58" s="191">
        <v>6.0759999999999996</v>
      </c>
      <c r="EK58" s="191">
        <v>37.552999999999997</v>
      </c>
      <c r="EL58" s="191">
        <v>4.1669999999999998</v>
      </c>
      <c r="EM58" s="191">
        <v>36.392000000000003</v>
      </c>
      <c r="EN58" s="191">
        <v>29.44</v>
      </c>
      <c r="EO58" s="191">
        <f>SUM(EC58:EN58)</f>
        <v>454.30999999999995</v>
      </c>
      <c r="EP58" s="191">
        <v>2.2639999999999998</v>
      </c>
      <c r="EQ58" s="191">
        <v>4.8339999999999996</v>
      </c>
      <c r="ER58" s="191">
        <v>31.855</v>
      </c>
      <c r="ES58" s="191">
        <v>13.68</v>
      </c>
      <c r="ET58" s="191">
        <v>0</v>
      </c>
      <c r="EU58" s="191">
        <v>2.1</v>
      </c>
      <c r="EV58" s="191">
        <v>0.9</v>
      </c>
      <c r="EW58" s="191">
        <v>0.26</v>
      </c>
      <c r="EX58" s="191">
        <v>1.149</v>
      </c>
      <c r="EY58" s="191">
        <v>2.6259999999999999</v>
      </c>
      <c r="EZ58" s="191">
        <v>10.1</v>
      </c>
      <c r="FA58" s="191">
        <v>0.85</v>
      </c>
      <c r="FB58" s="191">
        <f>SUM(EP58:FA58)</f>
        <v>70.617999999999995</v>
      </c>
      <c r="FC58" s="191">
        <v>4.78</v>
      </c>
      <c r="FD58" s="191">
        <v>4.08</v>
      </c>
      <c r="FE58" s="191">
        <v>3.633</v>
      </c>
      <c r="FF58" s="191">
        <v>14.98</v>
      </c>
      <c r="FG58" s="191">
        <v>9.6199999999999992</v>
      </c>
      <c r="FH58" s="191">
        <v>10.66</v>
      </c>
      <c r="FI58" s="191">
        <v>5.9459999999999997</v>
      </c>
      <c r="FJ58" s="191">
        <v>8.3970000000000002</v>
      </c>
      <c r="FK58" s="191">
        <v>17.012</v>
      </c>
      <c r="FL58" s="191">
        <v>7.35</v>
      </c>
      <c r="FM58" s="191">
        <v>22.238</v>
      </c>
      <c r="FN58" s="191">
        <v>13.282999999999999</v>
      </c>
      <c r="FO58" s="191">
        <f>SUM(FC58:FN58)</f>
        <v>121.979</v>
      </c>
      <c r="FP58" s="191">
        <v>20.946999999999999</v>
      </c>
      <c r="FQ58" s="191">
        <v>3.3450000000000002</v>
      </c>
      <c r="FR58" s="191">
        <v>10.029999999999999</v>
      </c>
      <c r="FS58" s="191">
        <v>31.859000000000002</v>
      </c>
      <c r="FT58" s="191">
        <v>3.5880000000000001</v>
      </c>
      <c r="FU58" s="191">
        <v>3.2389999999999999</v>
      </c>
      <c r="FV58" s="191">
        <v>23.9</v>
      </c>
      <c r="FW58" s="191">
        <v>31.512</v>
      </c>
      <c r="FX58" s="191">
        <v>4.2930000000000001</v>
      </c>
      <c r="FY58" s="191">
        <v>1.4279999999999999</v>
      </c>
      <c r="FZ58" s="191">
        <v>1.3879999999999999</v>
      </c>
      <c r="GA58" s="191">
        <v>4.18</v>
      </c>
      <c r="GB58" s="191">
        <f>SUM(FP58:GA58)</f>
        <v>139.709</v>
      </c>
      <c r="GC58" s="191">
        <v>1.74</v>
      </c>
      <c r="GD58" s="191">
        <v>2.7</v>
      </c>
      <c r="GE58" s="191">
        <v>0.46500000000000002</v>
      </c>
      <c r="GF58" s="191">
        <v>32.99</v>
      </c>
      <c r="GG58" s="191">
        <v>1.1200000000000001</v>
      </c>
      <c r="GH58" s="191">
        <v>0</v>
      </c>
      <c r="GI58" s="191">
        <v>1</v>
      </c>
      <c r="GJ58" s="191">
        <v>1.9</v>
      </c>
      <c r="GK58" s="191">
        <v>0</v>
      </c>
      <c r="GL58" s="191">
        <v>0</v>
      </c>
      <c r="GM58" s="191">
        <v>2.15</v>
      </c>
      <c r="GN58" s="191">
        <v>0</v>
      </c>
      <c r="GO58" s="191">
        <f>SUM(GC58:GN58)</f>
        <v>44.064999999999998</v>
      </c>
      <c r="GP58" s="191">
        <v>0</v>
      </c>
      <c r="GQ58" s="191">
        <v>0.05</v>
      </c>
      <c r="GR58" s="191">
        <v>8.1999999999999993</v>
      </c>
      <c r="GS58" s="191">
        <v>0.4</v>
      </c>
      <c r="GT58" s="191">
        <v>2.2559999999999998</v>
      </c>
      <c r="GU58" s="191">
        <v>0</v>
      </c>
      <c r="GV58" s="191">
        <v>0</v>
      </c>
      <c r="GW58" s="191">
        <v>0</v>
      </c>
      <c r="GX58" s="191" t="s">
        <v>29</v>
      </c>
      <c r="GY58" s="191">
        <v>0</v>
      </c>
      <c r="GZ58" s="191"/>
      <c r="HA58" s="191">
        <v>0.06</v>
      </c>
      <c r="HB58" s="191">
        <v>0.54</v>
      </c>
      <c r="HC58" s="191">
        <v>1.5</v>
      </c>
      <c r="HD58" s="191">
        <f>OY58</f>
        <v>0</v>
      </c>
      <c r="HE58" s="191">
        <f>OZ58</f>
        <v>0</v>
      </c>
      <c r="HF58" s="191">
        <f>PA58</f>
        <v>0</v>
      </c>
      <c r="HG58" s="191">
        <v>1.6</v>
      </c>
      <c r="HH58" s="191">
        <v>5.22</v>
      </c>
      <c r="HI58" s="191">
        <v>0.1</v>
      </c>
      <c r="HJ58" s="191"/>
      <c r="HK58" s="191">
        <v>1.3</v>
      </c>
      <c r="HL58" s="191"/>
      <c r="HM58" s="191"/>
      <c r="HN58" s="191">
        <f t="shared" si="124"/>
        <v>10.26</v>
      </c>
      <c r="HO58" s="191">
        <v>0.66</v>
      </c>
      <c r="HP58" s="191">
        <v>0</v>
      </c>
      <c r="HQ58" s="191">
        <v>0</v>
      </c>
      <c r="HR58" s="191">
        <v>0</v>
      </c>
      <c r="HS58" s="191">
        <v>0</v>
      </c>
      <c r="HT58" s="191">
        <v>0</v>
      </c>
      <c r="HU58" s="410">
        <v>0</v>
      </c>
      <c r="HV58" s="191">
        <v>0</v>
      </c>
      <c r="HW58" s="356">
        <v>0</v>
      </c>
      <c r="HX58" s="356">
        <v>0</v>
      </c>
      <c r="HY58" s="356">
        <v>0</v>
      </c>
      <c r="HZ58" s="414">
        <v>0</v>
      </c>
      <c r="IA58" s="191">
        <v>1.8</v>
      </c>
      <c r="IB58" s="191">
        <v>0</v>
      </c>
      <c r="IC58" s="191">
        <v>0</v>
      </c>
      <c r="ID58" s="191">
        <v>0.14000000000000001</v>
      </c>
      <c r="IE58" s="191">
        <v>0</v>
      </c>
      <c r="IF58" s="191">
        <v>5.6</v>
      </c>
      <c r="IG58" s="410">
        <v>0</v>
      </c>
      <c r="IH58" s="410">
        <v>5.7</v>
      </c>
      <c r="II58" s="410">
        <v>0</v>
      </c>
      <c r="IJ58" s="410">
        <v>8.6</v>
      </c>
      <c r="IK58" s="410">
        <v>0</v>
      </c>
      <c r="IL58" s="410">
        <v>0</v>
      </c>
      <c r="IM58" s="410">
        <v>0</v>
      </c>
      <c r="IN58" s="410">
        <v>0</v>
      </c>
      <c r="IO58" s="410">
        <v>0</v>
      </c>
      <c r="IP58" s="410">
        <v>0</v>
      </c>
      <c r="IQ58" s="410">
        <v>4.4000000000000004</v>
      </c>
      <c r="IR58" s="410">
        <v>6.9</v>
      </c>
      <c r="IS58" s="410">
        <v>45.2</v>
      </c>
      <c r="IT58" s="410">
        <v>149.744</v>
      </c>
      <c r="IU58" s="410">
        <v>15.08</v>
      </c>
      <c r="IV58" s="410">
        <v>0</v>
      </c>
      <c r="IW58" s="410">
        <v>8.5</v>
      </c>
      <c r="IX58" s="410">
        <v>0</v>
      </c>
      <c r="IY58" s="410">
        <v>0</v>
      </c>
      <c r="IZ58" s="410">
        <v>0</v>
      </c>
      <c r="JA58" s="410"/>
      <c r="JB58" s="410"/>
      <c r="JC58" s="410"/>
      <c r="JD58" s="410"/>
      <c r="JE58" s="410"/>
      <c r="JF58" s="410"/>
      <c r="JG58" s="410"/>
      <c r="JH58" s="410"/>
      <c r="JI58" s="410"/>
      <c r="JJ58" s="410"/>
      <c r="JK58" s="410">
        <f t="shared" si="129"/>
        <v>0</v>
      </c>
      <c r="JL58" s="410">
        <f t="shared" si="130"/>
        <v>0</v>
      </c>
      <c r="JM58" s="11"/>
      <c r="JN58" s="11"/>
      <c r="JO58" s="11"/>
      <c r="JP58" s="11"/>
      <c r="JQ58" s="11"/>
      <c r="JR58" s="11"/>
      <c r="JS58" s="11"/>
      <c r="JT58" s="11"/>
      <c r="JU58" s="11"/>
    </row>
    <row r="59" spans="1:281" x14ac:dyDescent="0.25">
      <c r="A59" s="91" t="s">
        <v>35</v>
      </c>
      <c r="B59" s="34"/>
      <c r="C59" s="34"/>
      <c r="D59" s="34"/>
      <c r="E59" s="79">
        <v>4452</v>
      </c>
      <c r="F59" s="79">
        <v>6017</v>
      </c>
      <c r="G59" s="79">
        <v>7691</v>
      </c>
      <c r="H59" s="79">
        <v>5320</v>
      </c>
      <c r="I59" s="79">
        <v>6197</v>
      </c>
      <c r="J59" s="79">
        <v>8414</v>
      </c>
      <c r="K59" s="79">
        <v>10442</v>
      </c>
      <c r="L59" s="79">
        <v>8331</v>
      </c>
      <c r="M59" s="79">
        <v>14206</v>
      </c>
      <c r="N59" s="92">
        <v>6717</v>
      </c>
      <c r="O59" s="93">
        <v>7535</v>
      </c>
      <c r="P59" s="92">
        <v>15586</v>
      </c>
      <c r="Q59" s="93">
        <v>19757</v>
      </c>
      <c r="R59" s="93">
        <v>22819.785</v>
      </c>
      <c r="S59" s="92">
        <v>1372</v>
      </c>
      <c r="T59" s="92">
        <f>356+12+29+548+494</f>
        <v>1439</v>
      </c>
      <c r="U59" s="101">
        <v>1833</v>
      </c>
      <c r="V59" s="69">
        <f>44+28+594+357+27</f>
        <v>1050</v>
      </c>
      <c r="W59" s="93">
        <v>2073</v>
      </c>
      <c r="X59" s="93">
        <f>323+28+1206+576+10+150</f>
        <v>2293</v>
      </c>
      <c r="Y59" s="94">
        <f>182+1196+745+30+25</f>
        <v>2178</v>
      </c>
      <c r="Z59" s="93">
        <f>117+3+987+664</f>
        <v>1771</v>
      </c>
      <c r="AA59" s="93">
        <v>2432</v>
      </c>
      <c r="AB59" s="93">
        <f>1642+188</f>
        <v>1830</v>
      </c>
      <c r="AC59" s="94">
        <f>16+30+26+18+1255+527+779+58</f>
        <v>2709</v>
      </c>
      <c r="AD59" s="93">
        <f>598.004+30+564.005+16.16+563.018+68.598</f>
        <v>1839.7850000000001</v>
      </c>
      <c r="AE59" s="94">
        <f>SUM(S59:AD59)</f>
        <v>22819.785</v>
      </c>
      <c r="AF59" s="93">
        <v>23700.932999999997</v>
      </c>
      <c r="AG59" s="93">
        <v>21981</v>
      </c>
      <c r="AH59" s="94">
        <v>20219</v>
      </c>
      <c r="AI59" s="94">
        <v>24139</v>
      </c>
      <c r="AJ59" s="94">
        <v>29575</v>
      </c>
      <c r="AK59" s="94">
        <v>33057</v>
      </c>
      <c r="AL59" s="94">
        <v>33151.476999999999</v>
      </c>
      <c r="AM59" s="94">
        <v>29160.75</v>
      </c>
      <c r="AN59" s="101">
        <f>1400.681+8.09+67+77.445+12.15</f>
        <v>1565.366</v>
      </c>
      <c r="AO59" s="69">
        <v>2303.9670000000001</v>
      </c>
      <c r="AP59" s="69">
        <v>2826.7189999999991</v>
      </c>
      <c r="AQ59" s="121">
        <v>2902.7170000000001</v>
      </c>
      <c r="AR59" s="101">
        <v>2770.6370000000002</v>
      </c>
      <c r="AS59" s="69">
        <v>3397.97</v>
      </c>
      <c r="AT59" s="69">
        <v>2520.1799999999998</v>
      </c>
      <c r="AU59" s="69">
        <v>2315.598</v>
      </c>
      <c r="AV59" s="69">
        <v>2730.2839999999997</v>
      </c>
      <c r="AW59" s="69">
        <v>1936.499</v>
      </c>
      <c r="AX59" s="69">
        <v>1681.17</v>
      </c>
      <c r="AY59" s="69">
        <v>1759.7429999999999</v>
      </c>
      <c r="AZ59" s="69">
        <f>SUM(AN59:AY59)</f>
        <v>28710.850000000002</v>
      </c>
      <c r="BA59" s="69">
        <v>34220.870999999999</v>
      </c>
      <c r="BB59" s="69">
        <v>39555.803999999996</v>
      </c>
      <c r="BC59" s="69">
        <v>50524.896000000001</v>
      </c>
      <c r="BD59" s="69">
        <v>40870.511999999995</v>
      </c>
      <c r="BE59" s="69">
        <v>42189.379000000001</v>
      </c>
      <c r="BF59" s="191">
        <v>47910.703000000009</v>
      </c>
      <c r="BG59" s="191">
        <v>27496.656999999999</v>
      </c>
      <c r="BH59" s="191">
        <v>37243.712999999989</v>
      </c>
      <c r="BI59" s="191">
        <v>89024.28300000001</v>
      </c>
      <c r="BJ59" s="191">
        <v>98618.324999999997</v>
      </c>
      <c r="BK59" s="191">
        <v>131993.41700000002</v>
      </c>
      <c r="BL59" s="191">
        <v>110313.652</v>
      </c>
      <c r="BM59" s="191">
        <v>108693.59999999999</v>
      </c>
      <c r="BN59" s="191">
        <v>68144.84199999999</v>
      </c>
      <c r="BO59" s="191">
        <v>61926.390999999996</v>
      </c>
      <c r="BP59" s="191">
        <v>7178.4040000000005</v>
      </c>
      <c r="BQ59" s="191">
        <v>8692.3979999999992</v>
      </c>
      <c r="BR59" s="191">
        <v>3875.2020000000002</v>
      </c>
      <c r="BS59" s="191">
        <v>5278.6039999999985</v>
      </c>
      <c r="BT59" s="191">
        <v>7331.7920000000004</v>
      </c>
      <c r="BU59" s="191">
        <v>5799.5709999999999</v>
      </c>
      <c r="BV59" s="191">
        <v>3811.502</v>
      </c>
      <c r="BW59" s="191">
        <v>1777.7909999999999</v>
      </c>
      <c r="BX59" s="191">
        <v>2830.5860000000002</v>
      </c>
      <c r="BY59" s="191">
        <v>6086.6609999999982</v>
      </c>
      <c r="BZ59" s="191">
        <v>7511.482</v>
      </c>
      <c r="CA59" s="191">
        <v>68144.84199999999</v>
      </c>
      <c r="CB59" s="191">
        <f>SUM(BP59:CA59)</f>
        <v>128318.83499999999</v>
      </c>
      <c r="CC59" s="191">
        <v>1830.356</v>
      </c>
      <c r="CD59" s="191">
        <f>2306.75+74.8+38.33+16.98+24.22+7.31</f>
        <v>2468.39</v>
      </c>
      <c r="CE59" s="191">
        <f>2151+45.8+17.2+74.2</f>
        <v>2288.1999999999998</v>
      </c>
      <c r="CF59" s="191">
        <f>2117.045+25.72+11.2+43.05+19.66</f>
        <v>2216.6749999999997</v>
      </c>
      <c r="CG59" s="191">
        <f>15.9+16.095+16.105+79.35+3162.57+357.4+10.25</f>
        <v>3657.67</v>
      </c>
      <c r="CH59" s="191">
        <f>8.779+60.758+6+3232.667</f>
        <v>3308.2039999999997</v>
      </c>
      <c r="CI59" s="191">
        <f>1709.991+9+84.744+56.76+16.3</f>
        <v>1876.7949999999998</v>
      </c>
      <c r="CJ59" s="191">
        <f>2576.757+4.554+8.1+40.45</f>
        <v>2629.8609999999999</v>
      </c>
      <c r="CK59" s="191">
        <v>3097.5889999999995</v>
      </c>
      <c r="CL59" s="191">
        <v>5829.0749999999998</v>
      </c>
      <c r="CM59" s="191">
        <v>4516.7959999999985</v>
      </c>
      <c r="CN59" s="191">
        <f>92.411+4820.923+5.251+124.58+324.802+37.726+430.5</f>
        <v>5836.1929999999993</v>
      </c>
      <c r="CO59" s="191">
        <f>SUM(CC59:CN59)</f>
        <v>39555.803999999996</v>
      </c>
      <c r="CP59" s="191">
        <f>77.972+4141.435+24.463+106.65+240.313+173.825</f>
        <v>4764.6579999999994</v>
      </c>
      <c r="CQ59" s="191">
        <f>130+94.046+65.2+3841.479+51.45+21.865+12.165+7+2.565</f>
        <v>4225.7699999999986</v>
      </c>
      <c r="CR59" s="191">
        <f>88.401+380.875+4116.854+14.597+0.7+49.075+125.68+2.476</f>
        <v>4778.6579999999994</v>
      </c>
      <c r="CS59" s="191">
        <f>104.077+126.54+0.451+91.202+1.472+2.14+9.307+53.593+12+4011.898</f>
        <v>4412.68</v>
      </c>
      <c r="CT59" s="191">
        <f>146.699+152.35+2559.245+16.551+55.502+23.47+23.938+27.05</f>
        <v>3004.8049999999998</v>
      </c>
      <c r="CU59" s="191">
        <f>128.603+63.06+4565.526+80.127+9.73+0.45+14.793+5.2</f>
        <v>4867.4889999999996</v>
      </c>
      <c r="CV59" s="191">
        <f>134.775+16.562+2877.5+3311.3+17+48.72+0.165+6.4+24.052+21.336</f>
        <v>6457.81</v>
      </c>
      <c r="CW59" s="191">
        <f>68+249.71+1.05+4591.644+15.536+0.87+14.79+5.11+21.785+5</f>
        <v>4973.4949999999999</v>
      </c>
      <c r="CX59" s="191">
        <f>171.742+50.27+3909.614+18.747+6.15+13.67+7.41+19.9</f>
        <v>4197.5029999999997</v>
      </c>
      <c r="CY59" s="191">
        <f>158.314+3.94+2504.411+7.911+0.25+17.969+23.115+36.363+24.15</f>
        <v>2776.4229999999998</v>
      </c>
      <c r="CZ59" s="191">
        <f>60+94.099+40+2546.944+6.667+5.385+5.045+10.545+10.55</f>
        <v>2779.2350000000006</v>
      </c>
      <c r="DA59" s="191">
        <f>3060.098+120.741+3.68+31.308+0.025+18.374+0.235+36.709+15.2</f>
        <v>3286.3699999999994</v>
      </c>
      <c r="DB59" s="191">
        <f>SUM(CP59:DA59)</f>
        <v>50524.896000000001</v>
      </c>
      <c r="DC59" s="191">
        <f>3010.466+127.416+26.568+13.655+43.775+10.1</f>
        <v>3231.9800000000005</v>
      </c>
      <c r="DD59" s="191">
        <f>70.551+2.71+3057.765+21.814+0.33+71.595+38.862</f>
        <v>3263.6269999999995</v>
      </c>
      <c r="DE59" s="191">
        <f>99.466+5.025+3508.708+22.563+11.659+3.293+15.76</f>
        <v>3666.4740000000006</v>
      </c>
      <c r="DF59" s="191">
        <f>106.279+2727.56+16.373+27.4+334.45+15.712+50</f>
        <v>3277.7739999999999</v>
      </c>
      <c r="DG59" s="191">
        <f>78.112+35+2455.1+6.605+21.79+137.9+20.344+840</f>
        <v>3594.8510000000001</v>
      </c>
      <c r="DH59" s="191">
        <f>1440+70.757+0.1+3473.012+6.89+0.38+59.7+6.9</f>
        <v>5057.7390000000005</v>
      </c>
      <c r="DI59" s="191">
        <f>360+62.986+0.12+2867.711+15.002+15.446+56.415+2.175+9.4</f>
        <v>3389.2550000000001</v>
      </c>
      <c r="DJ59" s="191">
        <f>108.507+1+4790.466+3.155+1+15.83+21.675+23.15</f>
        <v>4964.7829999999994</v>
      </c>
      <c r="DK59" s="191">
        <f>77.791+50+2272.516+112.303+17.84+4.8+11.475+31.75+28.165+40</f>
        <v>2646.6400000000003</v>
      </c>
      <c r="DL59" s="191">
        <f>53.757+5.18+42.69+4.35+14.93+57.6+0.7+2591.539</f>
        <v>2770.7460000000001</v>
      </c>
      <c r="DM59" s="191">
        <f>56.591+2431.54+18.15+6.045+19.11+36.48+31.801</f>
        <v>2599.7170000000001</v>
      </c>
      <c r="DN59" s="191">
        <f>89.257+2280.696+1.053+1.7+16.212+5.68+12.328</f>
        <v>2406.9259999999995</v>
      </c>
      <c r="DO59" s="191">
        <f>SUM(DC59:DN59)</f>
        <v>40870.511999999995</v>
      </c>
      <c r="DP59" s="191">
        <f>105.594+2431.219+33.09+3.27+25.759+4.75+29.395+29.1</f>
        <v>2662.1770000000001</v>
      </c>
      <c r="DQ59" s="191">
        <f>52.37+2221.442+31.718+6.2+5.45+0.625+13.783+630+25</f>
        <v>2986.5879999999993</v>
      </c>
      <c r="DR59" s="191">
        <f>79.564+5.6+2237.13+1.653+6.181+5.98+34.802+6.559</f>
        <v>2377.4690000000001</v>
      </c>
      <c r="DS59" s="191">
        <f>5.5+36.387+2661.257+5.204+24.998+3.1+36.596</f>
        <v>2773.0420000000004</v>
      </c>
      <c r="DT59" s="191">
        <v>3439.0339999999997</v>
      </c>
      <c r="DU59" s="191">
        <f>72.878+3184.24+26.471+43.762+5.275+6.4+211+10</f>
        <v>3560.0260000000003</v>
      </c>
      <c r="DV59" s="191">
        <f>5.1+92.86+124.5+3261.865+17.256+0.65+1.986+18.205</f>
        <v>3522.4219999999996</v>
      </c>
      <c r="DW59" s="191">
        <f>7.05+69.14+55.5+2766.577+60+4378.75+3.084+0.85+6.998+31.084+69.541+28.367</f>
        <v>7476.9409999999998</v>
      </c>
      <c r="DX59" s="191">
        <f>6.35+91.775+3210.677+28.8+2.181+3.53+299.775</f>
        <v>3643.0880000000006</v>
      </c>
      <c r="DY59" s="191">
        <f>6.4+57.73+3049.363+2.626+35.35+32.63+2.59+5.76+16.8</f>
        <v>3209.2490000000007</v>
      </c>
      <c r="DZ59" s="191">
        <f>62.05+2845.529+1+1.015+10.532+10.1</f>
        <v>2930.2260000000001</v>
      </c>
      <c r="EA59" s="191">
        <v>3609.1170000000002</v>
      </c>
      <c r="EB59" s="191">
        <f>SUM(DP59:EA59)</f>
        <v>42189.379000000001</v>
      </c>
      <c r="EC59" s="191">
        <v>3614.8110000000001</v>
      </c>
      <c r="ED59" s="191">
        <f>65.959+2513.676+13.115+0.515+7.954+139.475+16.495</f>
        <v>2757.1889999999994</v>
      </c>
      <c r="EE59" s="191">
        <f>80.85+11.65+34.753+3729.827+1.983+5.25+3.499+33.3+26.914+1.716</f>
        <v>3929.7420000000006</v>
      </c>
      <c r="EF59" s="191">
        <f>204.53+69.418+2645.791+3.658+8.783+13.615+41.18+27.25+15.102</f>
        <v>3029.3269999999993</v>
      </c>
      <c r="EG59" s="191">
        <f>351.1+11.5+66.425+1.25+2458.241+137.95+4+15.38+2.294+37.555+30.815</f>
        <v>3116.5099999999998</v>
      </c>
      <c r="EH59" s="191">
        <f>123.11+11.95+80.317+1.1+3708.934+17.385+34.61+16.87+19.032</f>
        <v>4013.3080000000004</v>
      </c>
      <c r="EI59" s="191">
        <f>170.03+23.3+59.228+9.95+3027.85+1.1+16.44+1.85+2.617+4.862+0.2+39.198</f>
        <v>3356.625</v>
      </c>
      <c r="EJ59" s="191">
        <f>49.48+19.87+0.376+192.649+11.625+2867.082+1516.75+5.209+27.893+4.135+72.57+40.675+360</f>
        <v>5168.3140000000003</v>
      </c>
      <c r="EK59" s="191">
        <f>51.58+21.109+0.606+123.784+0.5+608.09+2888.722+11.95+1170+27.63+32.642+1.3+12.325+35.255+41.691+70+1</f>
        <v>5098.1840000000002</v>
      </c>
      <c r="EL59" s="191">
        <f>234.25+89.35+1.3+92.571+5.25+168.52+3029.887+3.15+882.25+49.25+0.275+36.372+4.931+17.885+26.604+69.5</f>
        <v>4711.3450000000003</v>
      </c>
      <c r="EM59" s="191">
        <f>139.1+25.234+117.296+0.75+20.55+2118.812+378.5+0.7+1134.119+35.461+35.461+34.134+2.115+74.821+15.78+8.351</f>
        <v>4141.1839999999984</v>
      </c>
      <c r="EN59" s="191">
        <f>270+75.99+138.716+14.182+43.55+2477.211+249.55+17+1616.9+2.818+21.358+9.268+4.266+10.895+22.46</f>
        <v>4974.1640000000007</v>
      </c>
      <c r="EO59" s="191">
        <f>SUM(EC59:EN59)</f>
        <v>47910.703000000009</v>
      </c>
      <c r="EP59" s="191">
        <f>39+25.75+89.482+11.571+207+1963.387+65.74+1.2+383.65+128.2+1.176+25.97+0.45+9.313+4.035+32.5+1.71</f>
        <v>2990.1339999999991</v>
      </c>
      <c r="EQ59" s="191">
        <f>37.336+45.705+12.55+388.401+2270.423+0.5+391.58+399.7+1.721+202.1+52.57+15.243+8.8+24.125+2.434+7.4+13.133</f>
        <v>3873.721</v>
      </c>
      <c r="ER59" s="191">
        <f>10.436+44.07+13.5+244.95+2121.377+681.8+30.082+58.9+4.042+11.247+18.713+4.766+37.598+28.602</f>
        <v>3310.0829999999996</v>
      </c>
      <c r="ES59" s="191">
        <v>1860.778</v>
      </c>
      <c r="ET59" s="191">
        <f>47.952+16.22+2.76+169.25+711.956+76.05+1.937+10.07+0.54+19.825+45.375</f>
        <v>1101.9349999999999</v>
      </c>
      <c r="EU59" s="191">
        <f>18.2+16.935+10+189.95+1477.039+60.95+32.588+35.3+11.201+0.53+33.259+13.449</f>
        <v>1899.4010000000001</v>
      </c>
      <c r="EV59" s="191">
        <f>11.85+81.434+10.325+124.15+867.297+122.1+64.176+7.6+7.809+10.649+16.3+1.134+33.83+39.482</f>
        <v>1398.1359999999995</v>
      </c>
      <c r="EW59" s="191">
        <f>12.65+35.398+9.21+8.6+1050.503+80.85+67.184+26.29+26.29+23.065+1.03+1.712+13.258+35.321</f>
        <v>1391.3609999999996</v>
      </c>
      <c r="EX59" s="191">
        <f>3.144+36.522+38.65+1239.116+246.15+33.592+11.8+1270+13.64+3.876+31.3+7.196+3.488+25.522+2.023</f>
        <v>2966.0190000000002</v>
      </c>
      <c r="EY59" s="191">
        <f>0.978+18.213+2.5+271.3+1165.241+0.06+21+2.32+25.777+2.462+1.834+14.2+17.649</f>
        <v>1543.5340000000001</v>
      </c>
      <c r="EZ59" s="191">
        <f>0.06+13.122+14.855+81.85+976.006+14.3+1372.15+23.25+3.887+22.321+12.92+0.545+29.125+5.949</f>
        <v>2570.34</v>
      </c>
      <c r="FA59" s="191">
        <f>10.316+44.523+15+339.6+1619.809+316.15+0.41+181.4+7.35+1.095+11.136+5.47+2.04+11.405+25.511</f>
        <v>2591.2149999999997</v>
      </c>
      <c r="FB59" s="191">
        <f>SUM(EP59:FA59)</f>
        <v>27496.656999999999</v>
      </c>
      <c r="FC59" s="191">
        <v>2199.9249999999997</v>
      </c>
      <c r="FD59" s="191">
        <f>28.421+20.544+12.595+10+149.25+936.714+48+6.08+105.75+1.35+3.505+6.305+0.2+0.108+18.571+23.11+281.15</f>
        <v>1651.6529999999998</v>
      </c>
      <c r="FE59" s="191">
        <f>8.04+13.806+10+1444.968+2.117+7.014+4.9+3.631+12.639+44.053+13.4+258.51</f>
        <v>1823.0780000000002</v>
      </c>
      <c r="FF59" s="191">
        <f>0.36+9.182+7.55+150.7+1093.311+120+28.25+100+44+37.645+44.128+1.875+11.127+16.735</f>
        <v>1664.8629999999996</v>
      </c>
      <c r="FG59" s="191">
        <f>11.936+14.167+13.12+1324.706+4.936+8.585+3.248+1.648+14.019+18.645</f>
        <v>1415.0099999999998</v>
      </c>
      <c r="FH59" s="191">
        <f>6+8.426+17.475+79+1397.563+27.002+12.455+2.215+3.3+11.35</f>
        <v>1564.7859999999998</v>
      </c>
      <c r="FI59" s="191">
        <f>0.77+10.067+21.4+192.25+4062.085+60+0.975+7.014+6.65+1.008+12.422+15.82</f>
        <v>4390.4609999999993</v>
      </c>
      <c r="FJ59" s="191">
        <f>49.8+12.339+4.85+1650+110.32+1198.662+113.85+28.5+1.28+3.425+1.43+15.635+6.4+280</f>
        <v>3476.4910000000004</v>
      </c>
      <c r="FK59" s="191">
        <f>185.79+9.594+12.775+3600+265.7+705.868+93.995+393.95+2+8.101+10.955+3.095+2.53+17.642</f>
        <v>5311.994999999999</v>
      </c>
      <c r="FL59" s="191">
        <f>79.5+0.1+1.323+1.95+3500+57.7+936.751+1.2+187.15+2.28+0.5+7.768+5.715+1.008+7.601+29.062+33</f>
        <v>4852.6079999999984</v>
      </c>
      <c r="FM59" s="191">
        <f>2.01+21.775+2690.68+140.009+649.143+67+17.79+11.548+1.5+2.514+35.504</f>
        <v>3639.4729999999995</v>
      </c>
      <c r="FN59" s="191">
        <f>4.054+21.8+3800+19.9+1163.976+199.65+18.043+0.21+4.08+2.05+0.87+2.068+1.37+15.299</f>
        <v>5253.369999999999</v>
      </c>
      <c r="FO59" s="191">
        <f>SUM(FC59:FN59)</f>
        <v>37243.712999999989</v>
      </c>
      <c r="FP59" s="191">
        <f>5.985+3100+87+682.105+76.5+3.823+1+0.5+3.31+6.05+1.53+1.16+9.801</f>
        <v>3978.7640000000001</v>
      </c>
      <c r="FQ59" s="191">
        <f>2.215+0.7+4373.61+33.95+724.938+6+0.55+19.3+1.6+0.99+15.685+3.765</f>
        <v>5183.3030000000008</v>
      </c>
      <c r="FR59" s="191">
        <f>0.965+0.26+2900+830.454+83.74+0.025+21.327+12.435+2.035+17.194+46.71+0.6</f>
        <v>3915.7449999999999</v>
      </c>
      <c r="FS59" s="191">
        <v>6978.1989999999996</v>
      </c>
      <c r="FT59" s="191">
        <f>0.138+1.185+0.5+3040+37.65+959.112+6.186+5.23+3.3+1.68+11.84+53.467</f>
        <v>4120.2880000000005</v>
      </c>
      <c r="FU59" s="191">
        <f>6.05+2900+49.35+1.04+208+0.2+15.695+4.55+3.069+24.291</f>
        <v>3212.2450000000003</v>
      </c>
      <c r="FV59" s="191">
        <f>0.3+10.625+6500+57.25+632.652+500+60+624.111+0.1+5.094+1.89+6.322+7.75</f>
        <v>8406.0939999999991</v>
      </c>
      <c r="FW59" s="191">
        <f>5.304+11+6450+27.1+817.192+185.97+45+1453+9.19+27.827+2.56+18.532+10.695</f>
        <v>9063.369999999999</v>
      </c>
      <c r="FX59" s="191">
        <f>0.785+4200+627.306+95.9+95+4279+8.999+0.06+1.2+2.767+2.971+31.9</f>
        <v>9345.887999999999</v>
      </c>
      <c r="FY59" s="191">
        <f>1020+24.4+2750+114.7+694.303+32.25+600+5780+11.631+11+1.836+21.15+39.395</f>
        <v>11100.664999999999</v>
      </c>
      <c r="FZ59" s="191">
        <f>3100+27.704+665.228+8156.43+0.09+21.776+4.23+4.265+23.838</f>
        <v>12003.561</v>
      </c>
      <c r="GA59" s="191">
        <f>30+0.63+3394.88+97.739+551.387+7567.96+14.335+0.03+3.87+6.743+48.587</f>
        <v>11716.161000000002</v>
      </c>
      <c r="GB59" s="191">
        <f>SUM(FP59:GA59)</f>
        <v>89024.28300000001</v>
      </c>
      <c r="GC59" s="191">
        <f>108.5+0.043+3000+125.758+621.14+23+340+5260.764+18.753+0.221+5.447</f>
        <v>9503.6260000000002</v>
      </c>
      <c r="GD59" s="191">
        <f>52.7+0.115+850+221.991+924.653+41+180+160+3125.09+0.049+32.043+7.015+3.205+8.135+53.81</f>
        <v>5659.8060000000005</v>
      </c>
      <c r="GE59" s="191">
        <f>240+80.7+0.144+5+2550+112.16+1076.596+80.01+57.525+558+1+17.3+25.751+0.45+2.845+0.819+26.283</f>
        <v>4834.5830000000005</v>
      </c>
      <c r="GF59" s="191">
        <f>1748+5+1500+167.4+891.086+5+13.35+6.805+44.865+31.28+16.076+1.39+62.368</f>
        <v>4492.6200000000008</v>
      </c>
      <c r="GG59" s="191">
        <f>960+40+1+0.1+3560+257.15+409.061+9+90+70+17.876+14.2+9.525+42.15+5.044+11.985+38.254</f>
        <v>5535.3449999999984</v>
      </c>
      <c r="GH59" s="191">
        <f>448+94.6+1.575+0.06+6468+148.2+804.49+204+490+0.127+16.44+1.124+4.68+9.845+13.627</f>
        <v>8704.768</v>
      </c>
      <c r="GI59" s="191">
        <f>622+115+0.27+5990+183.4+1195.83+18+400+1150+17.653+14.022+0.125+18.8</f>
        <v>9725.1</v>
      </c>
      <c r="GJ59" s="191">
        <f>73+5+4000+434.7+833.433+976+144+4230+30.998+8.35+1.9+9.3+60.033</f>
        <v>10806.713999999998</v>
      </c>
      <c r="GK59" s="191">
        <f>294.35+0.675+8650+115.5+883.925+13.509+9.5+3.584+0.185+7.14</f>
        <v>9978.3679999999986</v>
      </c>
      <c r="GL59" s="191">
        <f>450+4.835+7780+152.55+632.763+30+20+550+6+21.66+1.57+1.59+13.405+2.07</f>
        <v>9666.4429999999993</v>
      </c>
      <c r="GM59" s="191">
        <f>210+242.35+9240+138.24+710.739+43.9+9.12+10+3+23.78+0.12+2.82+1.37+15.8</f>
        <v>10651.239000000001</v>
      </c>
      <c r="GN59" s="191">
        <f>610+317.3+0.15+7360+88+554.921+27.5+20+23.335+9.95+4.05+30.507+1+13</f>
        <v>9059.7129999999997</v>
      </c>
      <c r="GO59" s="191">
        <f>SUM(GC59:GN59)</f>
        <v>98618.324999999997</v>
      </c>
      <c r="GP59" s="191">
        <f>317.85+0.31+8050+339.35+610.412+200+13.1+523.35+224.35+1.08+11.6+10.56+4+14.58</f>
        <v>10320.542000000001</v>
      </c>
      <c r="GQ59" s="191">
        <f>200+0.37+11990+206.25+656.92+31+74.15+82.9+3.7+800+14.793+2.08+15.1+8.358</f>
        <v>14085.621000000001</v>
      </c>
      <c r="GR59" s="191">
        <v>12327.841999999999</v>
      </c>
      <c r="GS59" s="191">
        <v>14689.621999999999</v>
      </c>
      <c r="GT59" s="191">
        <v>11019.441000000001</v>
      </c>
      <c r="GU59" s="191">
        <f>77.3+6570+149.8+696.917+388.205+29.25+437+5.85+22.8+61.96+6.95</f>
        <v>8446.0320000000011</v>
      </c>
      <c r="GV59" s="191">
        <v>10395.865</v>
      </c>
      <c r="GW59" s="191">
        <f>0.8+496.9+0.15+9790+133.25+421.757+45.2+31.72+5+7.8+2.632</f>
        <v>10935.208999999999</v>
      </c>
      <c r="GX59" s="191">
        <f>17.12+700.9+9670+94.9+669.693+15+19.5+55.334+25.454+6.775</f>
        <v>11274.675999999999</v>
      </c>
      <c r="GY59" s="191">
        <f>31.95+517.1+9130+56.3+683.179+2+40.209+51.07+8.21</f>
        <v>10520.017999999998</v>
      </c>
      <c r="GZ59" s="191">
        <v>9244.8260000000009</v>
      </c>
      <c r="HA59" s="191">
        <f>0.65+7490+242.6+943.228+23.615+25+5.67+2.96</f>
        <v>8733.7229999999981</v>
      </c>
      <c r="HB59" s="191">
        <v>11823.014999999999</v>
      </c>
      <c r="HC59" s="191">
        <v>11127.844000000001</v>
      </c>
      <c r="HD59" s="191">
        <v>16334.029000000002</v>
      </c>
      <c r="HE59" s="191">
        <v>859.97300000000178</v>
      </c>
      <c r="HF59" s="191">
        <v>8535.1450000000004</v>
      </c>
      <c r="HG59" s="191">
        <v>10366.81</v>
      </c>
      <c r="HH59" s="191">
        <v>8127.8209999999999</v>
      </c>
      <c r="HI59" s="191">
        <v>7799.0420000000013</v>
      </c>
      <c r="HJ59" s="191">
        <v>10186.519</v>
      </c>
      <c r="HK59" s="191">
        <v>6417.0829999999996</v>
      </c>
      <c r="HL59" s="191">
        <v>9357.3349999999991</v>
      </c>
      <c r="HM59" s="191">
        <v>9379.0360000000001</v>
      </c>
      <c r="HN59" s="191">
        <f t="shared" si="124"/>
        <v>110313.652</v>
      </c>
      <c r="HO59" s="191">
        <v>8916.0929999999989</v>
      </c>
      <c r="HP59" s="191">
        <v>11020.27</v>
      </c>
      <c r="HQ59" s="191">
        <v>10514.992</v>
      </c>
      <c r="HR59" s="191">
        <v>8856.6630000000023</v>
      </c>
      <c r="HS59" s="191">
        <v>8991.4580000000005</v>
      </c>
      <c r="HT59" s="191">
        <v>9982.2569999999996</v>
      </c>
      <c r="HU59" s="410">
        <v>9356.7649999999994</v>
      </c>
      <c r="HV59" s="389">
        <v>7462.3130000000001</v>
      </c>
      <c r="HW59" s="389">
        <v>9321.0310000000009</v>
      </c>
      <c r="HX59" s="389">
        <v>6801.5939999999991</v>
      </c>
      <c r="HY59" s="389">
        <v>10257.958999999999</v>
      </c>
      <c r="HZ59" s="411">
        <v>7212.2049999999999</v>
      </c>
      <c r="IA59" s="191">
        <v>7970.8489999999993</v>
      </c>
      <c r="IB59" s="191">
        <v>7178.4040000000005</v>
      </c>
      <c r="IC59" s="191">
        <v>8692.3979999999992</v>
      </c>
      <c r="ID59" s="191">
        <v>3875.2020000000002</v>
      </c>
      <c r="IE59" s="191">
        <v>5278.6039999999985</v>
      </c>
      <c r="IF59" s="191">
        <v>7331.7920000000004</v>
      </c>
      <c r="IG59" s="410">
        <v>5799.5709999999999</v>
      </c>
      <c r="IH59" s="410">
        <v>3811.502</v>
      </c>
      <c r="II59" s="410">
        <v>1777.7909999999999</v>
      </c>
      <c r="IJ59" s="410">
        <v>2830.5860000000002</v>
      </c>
      <c r="IK59" s="410">
        <v>6086.6609999999982</v>
      </c>
      <c r="IL59" s="410">
        <v>7511.482</v>
      </c>
      <c r="IM59" s="410">
        <v>7223.5920000000006</v>
      </c>
      <c r="IN59" s="410">
        <v>2803.3259999999996</v>
      </c>
      <c r="IO59" s="410">
        <v>5137.5069999999996</v>
      </c>
      <c r="IP59" s="410">
        <v>6779.6090000000004</v>
      </c>
      <c r="IQ59" s="410">
        <v>7945.223</v>
      </c>
      <c r="IR59" s="410">
        <v>2627.6019999999999</v>
      </c>
      <c r="IS59" s="410">
        <f>+[2]A!$N$11657+[2]A!$N$11666+[2]A!$N$11670+[2]A!$N$11673+[2]A!$N$11679+[2]A!$N$11697+[2]A!$N$11700+[2]A!$N$11702+[2]A!$N$11710+[2]A!$N$11713+[2]A!$N$11715</f>
        <v>2557.9839999999999</v>
      </c>
      <c r="IT59" s="410">
        <f>+[2]A!$N$11765+[2]A!$N$11774+[2]A!$N$11778+[2]A!$N$11781+[2]A!$N$11787+[2]A!$N$11795+[2]A!$N$11808+[2]A!$N$11820+[2]A!$N$11821+[2]A!$N$11835</f>
        <v>4322.0079999999998</v>
      </c>
      <c r="IU59" s="410">
        <v>759.50500000000011</v>
      </c>
      <c r="IV59" s="410">
        <v>7306.33</v>
      </c>
      <c r="IW59" s="410">
        <v>14439.236999999999</v>
      </c>
      <c r="IX59" s="410">
        <v>28573.429</v>
      </c>
      <c r="IY59" s="410">
        <f>+[2]A!$N$12326+[2]A!$N$12331+[2]A!$N$12335+[2]A!$N$12339+[2]A!$N$12342+[2]A!$N$12357+[2]A!$N$12360+[2]A!$N$12366+[2]A!$N$12368+[2]A!$N$12382+[2]A!$N$12385+[2]A!$N$12387+[2]A!$N$12403</f>
        <v>12224.848</v>
      </c>
      <c r="IZ59" s="410">
        <v>3756.8179999999998</v>
      </c>
      <c r="JA59" s="410"/>
      <c r="JB59" s="410"/>
      <c r="JC59" s="410"/>
      <c r="JD59" s="410"/>
      <c r="JE59" s="410"/>
      <c r="JF59" s="410"/>
      <c r="JG59" s="410"/>
      <c r="JH59" s="410"/>
      <c r="JI59" s="410"/>
      <c r="JJ59" s="410"/>
      <c r="JK59" s="410">
        <f t="shared" si="129"/>
        <v>10026.918</v>
      </c>
      <c r="JL59" s="410">
        <f t="shared" si="130"/>
        <v>15981.665999999999</v>
      </c>
      <c r="JM59" s="10"/>
      <c r="JN59" s="10"/>
      <c r="JO59" s="10"/>
      <c r="JP59" s="10"/>
      <c r="JQ59" s="10"/>
      <c r="JR59" s="10"/>
      <c r="JS59" s="10"/>
      <c r="JT59" s="11"/>
    </row>
    <row r="60" spans="1:281" x14ac:dyDescent="0.25">
      <c r="A60" s="87"/>
      <c r="B60" s="34"/>
      <c r="C60" s="34"/>
      <c r="D60" s="34"/>
      <c r="E60" s="43"/>
      <c r="F60" s="43"/>
      <c r="G60" s="43"/>
      <c r="H60" s="43"/>
      <c r="I60" s="43"/>
      <c r="J60" s="43"/>
      <c r="K60" s="43"/>
      <c r="L60" s="43"/>
      <c r="M60" s="43"/>
      <c r="N60" s="122"/>
      <c r="O60" s="123"/>
      <c r="P60" s="122"/>
      <c r="Q60" s="123"/>
      <c r="R60" s="123"/>
      <c r="S60" s="122"/>
      <c r="T60" s="122"/>
      <c r="U60" s="123"/>
      <c r="V60" s="123"/>
      <c r="W60" s="123"/>
      <c r="X60" s="123"/>
      <c r="Y60" s="124"/>
      <c r="Z60" s="123"/>
      <c r="AA60" s="123"/>
      <c r="AB60" s="123"/>
      <c r="AC60" s="124"/>
      <c r="AD60" s="123"/>
      <c r="AE60" s="125"/>
      <c r="AF60" s="126"/>
      <c r="AG60" s="126"/>
      <c r="AH60" s="125"/>
      <c r="AI60" s="125"/>
      <c r="AJ60" s="125"/>
      <c r="AK60" s="125"/>
      <c r="AL60" s="125"/>
      <c r="AM60" s="125"/>
      <c r="AN60" s="105"/>
      <c r="AO60" s="124"/>
      <c r="AP60" s="123"/>
      <c r="AQ60" s="123"/>
      <c r="AR60" s="127"/>
      <c r="AS60" s="123"/>
      <c r="AT60" s="123"/>
      <c r="AU60" s="124"/>
      <c r="AV60" s="128"/>
      <c r="AW60" s="123"/>
      <c r="AX60" s="128"/>
      <c r="AY60" s="126"/>
      <c r="AZ60" s="129"/>
      <c r="BA60" s="129"/>
      <c r="BB60" s="129"/>
      <c r="BC60" s="129"/>
      <c r="BD60" s="129"/>
      <c r="BE60" s="129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332"/>
      <c r="DP60" s="332"/>
      <c r="DQ60" s="332"/>
      <c r="DR60" s="332"/>
      <c r="DS60" s="332"/>
      <c r="DT60" s="332"/>
      <c r="DU60" s="332"/>
      <c r="DV60" s="332"/>
      <c r="DW60" s="332"/>
      <c r="DX60" s="332"/>
      <c r="DY60" s="332"/>
      <c r="DZ60" s="332"/>
      <c r="EA60" s="332"/>
      <c r="EB60" s="332"/>
      <c r="EC60" s="332"/>
      <c r="ED60" s="332"/>
      <c r="EE60" s="332"/>
      <c r="EF60" s="332"/>
      <c r="EG60" s="332"/>
      <c r="EH60" s="332"/>
      <c r="EI60" s="332"/>
      <c r="EJ60" s="332"/>
      <c r="EK60" s="332"/>
      <c r="EL60" s="332"/>
      <c r="EM60" s="332"/>
      <c r="EN60" s="332"/>
      <c r="EO60" s="332"/>
      <c r="EP60" s="332"/>
      <c r="EQ60" s="332"/>
      <c r="ER60" s="332"/>
      <c r="ES60" s="332"/>
      <c r="ET60" s="332"/>
      <c r="EU60" s="332"/>
      <c r="EV60" s="332"/>
      <c r="EW60" s="332"/>
      <c r="EX60" s="332"/>
      <c r="EY60" s="332"/>
      <c r="EZ60" s="332"/>
      <c r="FA60" s="332"/>
      <c r="FB60" s="332"/>
      <c r="FC60" s="332"/>
      <c r="FD60" s="332"/>
      <c r="FE60" s="332"/>
      <c r="FF60" s="332"/>
      <c r="FG60" s="332"/>
      <c r="FH60" s="332"/>
      <c r="FI60" s="332"/>
      <c r="FJ60" s="332"/>
      <c r="FK60" s="332"/>
      <c r="FL60" s="332"/>
      <c r="FM60" s="332"/>
      <c r="FN60" s="332"/>
      <c r="FO60" s="332"/>
      <c r="FP60" s="332"/>
      <c r="FQ60" s="332"/>
      <c r="FR60" s="332"/>
      <c r="FS60" s="332"/>
      <c r="FT60" s="332"/>
      <c r="FU60" s="332"/>
      <c r="FV60" s="332"/>
      <c r="FW60" s="332"/>
      <c r="FX60" s="332"/>
      <c r="FY60" s="332"/>
      <c r="FZ60" s="332"/>
      <c r="GA60" s="332"/>
      <c r="GB60" s="332"/>
      <c r="GC60" s="332"/>
      <c r="GD60" s="332"/>
      <c r="GE60" s="332"/>
      <c r="GF60" s="332"/>
      <c r="GG60" s="332"/>
      <c r="GH60" s="332"/>
      <c r="GI60" s="332"/>
      <c r="GJ60" s="332"/>
      <c r="GK60" s="332"/>
      <c r="GL60" s="332"/>
      <c r="GM60" s="332"/>
      <c r="GN60" s="332"/>
      <c r="GO60" s="332"/>
      <c r="GP60" s="332"/>
      <c r="GQ60" s="332"/>
      <c r="GR60" s="332"/>
      <c r="GS60" s="332"/>
      <c r="GT60" s="332"/>
      <c r="GU60" s="332"/>
      <c r="GV60" s="332"/>
      <c r="GW60" s="332"/>
      <c r="GX60" s="332"/>
      <c r="GY60" s="332"/>
      <c r="GZ60" s="332"/>
      <c r="HA60" s="332"/>
      <c r="HB60" s="332"/>
      <c r="HC60" s="332"/>
      <c r="HD60" s="332"/>
      <c r="HE60" s="332"/>
      <c r="HF60" s="191"/>
      <c r="HG60" s="191"/>
      <c r="HH60" s="191"/>
      <c r="HI60" s="191"/>
      <c r="HJ60" s="191"/>
      <c r="HK60" s="191"/>
      <c r="HL60" s="191"/>
      <c r="HM60" s="191"/>
      <c r="HN60" s="191"/>
      <c r="HO60" s="191"/>
      <c r="HP60" s="191"/>
      <c r="HQ60" s="191"/>
      <c r="HR60" s="191"/>
      <c r="HS60" s="191"/>
      <c r="HT60" s="191"/>
      <c r="HU60" s="410"/>
      <c r="HV60" s="376"/>
      <c r="HW60" s="376"/>
      <c r="HX60" s="376"/>
      <c r="HY60" s="376"/>
      <c r="HZ60" s="409"/>
      <c r="IA60" s="392"/>
      <c r="IB60" s="392"/>
      <c r="IC60" s="392"/>
      <c r="ID60" s="392"/>
      <c r="IE60" s="392"/>
      <c r="IF60" s="392"/>
      <c r="IG60" s="436"/>
      <c r="IH60" s="436"/>
      <c r="II60" s="436"/>
      <c r="IJ60" s="436"/>
      <c r="IK60" s="436"/>
      <c r="IL60" s="436"/>
      <c r="IM60" s="436"/>
      <c r="IN60" s="436"/>
      <c r="IO60" s="436"/>
      <c r="IP60" s="436"/>
      <c r="IQ60" s="436"/>
      <c r="IR60" s="436"/>
      <c r="IS60" s="436"/>
      <c r="IT60" s="436"/>
      <c r="IU60" s="436"/>
      <c r="IV60" s="436"/>
      <c r="IW60" s="436"/>
      <c r="IX60" s="436"/>
      <c r="IY60" s="436"/>
      <c r="IZ60" s="436"/>
      <c r="JA60" s="436"/>
      <c r="JB60" s="436"/>
      <c r="JC60" s="436"/>
      <c r="JD60" s="436"/>
      <c r="JE60" s="436"/>
      <c r="JF60" s="436"/>
      <c r="JG60" s="436"/>
      <c r="JH60" s="436"/>
      <c r="JI60" s="436"/>
      <c r="JJ60" s="436"/>
      <c r="JK60" s="436"/>
      <c r="JL60" s="436"/>
      <c r="JM60" s="10"/>
      <c r="JN60" s="10"/>
      <c r="JO60" s="10"/>
      <c r="JP60" s="10"/>
      <c r="JQ60" s="10"/>
      <c r="JR60" s="20"/>
      <c r="JS60" s="10"/>
      <c r="JT60" s="10"/>
      <c r="JU60" s="11"/>
    </row>
    <row r="61" spans="1:281" x14ac:dyDescent="0.25">
      <c r="A61" s="49"/>
      <c r="B61" s="34"/>
      <c r="C61" s="34"/>
      <c r="D61" s="34"/>
      <c r="E61" s="90"/>
      <c r="F61" s="90"/>
      <c r="G61" s="90"/>
      <c r="H61" s="90"/>
      <c r="I61" s="90"/>
      <c r="J61" s="90"/>
      <c r="K61" s="90"/>
      <c r="L61" s="90"/>
      <c r="M61" s="90"/>
      <c r="N61" s="133"/>
      <c r="O61" s="134"/>
      <c r="P61" s="133"/>
      <c r="Q61" s="135"/>
      <c r="R61" s="134"/>
      <c r="S61" s="136"/>
      <c r="T61" s="137">
        <f>SUM(T11,T21,T27,T34,T41,T49,T47)</f>
        <v>14381</v>
      </c>
      <c r="U61" s="135"/>
      <c r="V61" s="135"/>
      <c r="W61" s="135"/>
      <c r="X61" s="134"/>
      <c r="Y61" s="138"/>
      <c r="Z61" s="134"/>
      <c r="AA61" s="134"/>
      <c r="AB61" s="134"/>
      <c r="AC61" s="138"/>
      <c r="AD61" s="134"/>
      <c r="AE61" s="94"/>
      <c r="AF61" s="93"/>
      <c r="AG61" s="93"/>
      <c r="AH61" s="94"/>
      <c r="AI61" s="94"/>
      <c r="AJ61" s="94"/>
      <c r="AK61" s="94"/>
      <c r="AL61" s="94"/>
      <c r="AM61" s="94"/>
      <c r="AN61" s="138"/>
      <c r="AO61" s="139"/>
      <c r="AP61" s="135"/>
      <c r="AQ61" s="135"/>
      <c r="AR61" s="101"/>
      <c r="AS61" s="134"/>
      <c r="AT61" s="134"/>
      <c r="AU61" s="138"/>
      <c r="AV61" s="134"/>
      <c r="AW61" s="134"/>
      <c r="AX61" s="138"/>
      <c r="AY61" s="92"/>
      <c r="AZ61" s="93"/>
      <c r="BA61" s="93"/>
      <c r="BB61" s="93"/>
      <c r="BC61" s="93"/>
      <c r="BD61" s="93"/>
      <c r="BE61" s="93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1"/>
      <c r="FL61" s="191"/>
      <c r="FM61" s="191"/>
      <c r="FN61" s="191"/>
      <c r="FO61" s="191"/>
      <c r="FP61" s="191"/>
      <c r="FQ61" s="191"/>
      <c r="FR61" s="191"/>
      <c r="FS61" s="191"/>
      <c r="FT61" s="191"/>
      <c r="FU61" s="191"/>
      <c r="FV61" s="191"/>
      <c r="FW61" s="191"/>
      <c r="FX61" s="191"/>
      <c r="FY61" s="191"/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  <c r="GN61" s="191"/>
      <c r="GO61" s="191"/>
      <c r="GP61" s="191"/>
      <c r="GQ61" s="191"/>
      <c r="GR61" s="191"/>
      <c r="GS61" s="191"/>
      <c r="GT61" s="191"/>
      <c r="GU61" s="191"/>
      <c r="GV61" s="191"/>
      <c r="GW61" s="191"/>
      <c r="GX61" s="191"/>
      <c r="GY61" s="191"/>
      <c r="GZ61" s="191"/>
      <c r="HA61" s="191"/>
      <c r="HB61" s="191"/>
      <c r="HC61" s="191"/>
      <c r="HD61" s="191"/>
      <c r="HE61" s="191"/>
      <c r="HF61" s="337"/>
      <c r="HG61" s="337"/>
      <c r="HH61" s="337"/>
      <c r="HI61" s="337"/>
      <c r="HJ61" s="337"/>
      <c r="HK61" s="337"/>
      <c r="HL61" s="337"/>
      <c r="HM61" s="337"/>
      <c r="HN61" s="337"/>
      <c r="HO61" s="337"/>
      <c r="HP61" s="337"/>
      <c r="HQ61" s="337"/>
      <c r="HR61" s="337"/>
      <c r="HS61" s="337"/>
      <c r="HT61" s="337"/>
      <c r="HU61" s="431"/>
      <c r="HV61" s="377"/>
      <c r="HW61" s="377"/>
      <c r="HX61" s="377"/>
      <c r="HY61" s="377"/>
      <c r="HZ61" s="416"/>
      <c r="IA61" s="393"/>
      <c r="IB61" s="393"/>
      <c r="IC61" s="393"/>
      <c r="ID61" s="393"/>
      <c r="IE61" s="393"/>
      <c r="IF61" s="393"/>
      <c r="IG61" s="438"/>
      <c r="IH61" s="438"/>
      <c r="II61" s="438"/>
      <c r="IJ61" s="438"/>
      <c r="IK61" s="438"/>
      <c r="IL61" s="438"/>
      <c r="IM61" s="438"/>
      <c r="IN61" s="438"/>
      <c r="IO61" s="438"/>
      <c r="IP61" s="438"/>
      <c r="IQ61" s="438"/>
      <c r="IR61" s="438"/>
      <c r="IS61" s="438"/>
      <c r="IT61" s="438"/>
      <c r="IU61" s="438"/>
      <c r="IV61" s="438"/>
      <c r="IW61" s="438"/>
      <c r="IX61" s="438"/>
      <c r="IY61" s="438"/>
      <c r="IZ61" s="438"/>
      <c r="JA61" s="438"/>
      <c r="JB61" s="438"/>
      <c r="JC61" s="438"/>
      <c r="JD61" s="438"/>
      <c r="JE61" s="438"/>
      <c r="JF61" s="438"/>
      <c r="JG61" s="438"/>
      <c r="JH61" s="438"/>
      <c r="JI61" s="438"/>
      <c r="JJ61" s="438"/>
      <c r="JK61" s="438"/>
      <c r="JL61" s="438"/>
      <c r="JM61" s="16"/>
      <c r="JN61" s="16"/>
      <c r="JO61" s="16"/>
      <c r="JP61" s="16"/>
      <c r="JQ61" s="16"/>
      <c r="JR61" s="16"/>
      <c r="JS61" s="16"/>
      <c r="JT61" s="9"/>
      <c r="JU61" s="11"/>
    </row>
    <row r="62" spans="1:281" s="279" customFormat="1" x14ac:dyDescent="0.25">
      <c r="A62" s="219" t="s">
        <v>63</v>
      </c>
      <c r="B62" s="273"/>
      <c r="C62" s="273"/>
      <c r="D62" s="273"/>
      <c r="E62" s="274">
        <f t="shared" ref="E62:R62" si="148">SUM(E11,E21,E27,E34,E41,E47,E49)</f>
        <v>155996</v>
      </c>
      <c r="F62" s="274">
        <f t="shared" si="148"/>
        <v>140354</v>
      </c>
      <c r="G62" s="274">
        <f t="shared" si="148"/>
        <v>150279</v>
      </c>
      <c r="H62" s="274">
        <f t="shared" si="148"/>
        <v>152845</v>
      </c>
      <c r="I62" s="274">
        <f t="shared" si="148"/>
        <v>188417</v>
      </c>
      <c r="J62" s="274">
        <f t="shared" si="148"/>
        <v>179914</v>
      </c>
      <c r="K62" s="274">
        <f t="shared" si="148"/>
        <v>190359</v>
      </c>
      <c r="L62" s="274">
        <f t="shared" si="148"/>
        <v>213426</v>
      </c>
      <c r="M62" s="274">
        <f t="shared" si="148"/>
        <v>180361</v>
      </c>
      <c r="N62" s="275">
        <f t="shared" si="148"/>
        <v>81278</v>
      </c>
      <c r="O62" s="276">
        <f t="shared" si="148"/>
        <v>70946</v>
      </c>
      <c r="P62" s="275">
        <f t="shared" si="148"/>
        <v>123106</v>
      </c>
      <c r="Q62" s="276">
        <f t="shared" si="148"/>
        <v>142578</v>
      </c>
      <c r="R62" s="280">
        <f t="shared" si="148"/>
        <v>169497.02100000001</v>
      </c>
      <c r="S62" s="284">
        <f>SUM(S11,S21,S27,S34,S41,S49,S47)</f>
        <v>12156</v>
      </c>
      <c r="T62" s="285"/>
      <c r="U62" s="286">
        <f>SUM(U11,U21,U27,U34,U41,U49,U47)</f>
        <v>12495</v>
      </c>
      <c r="V62" s="286">
        <f>SUM(V11,V21,V27,V34,V41,V49,V47)</f>
        <v>15159</v>
      </c>
      <c r="W62" s="286">
        <f>SUM(W11,W21,W27,W34,W41,W49,W47)</f>
        <v>15726</v>
      </c>
      <c r="X62" s="286">
        <f>SUM(X11,X21,X27,X34,X41,X49,X47)</f>
        <v>12181</v>
      </c>
      <c r="Y62" s="277">
        <f>SUM(Y11,Y21,Y27,Y34,Y41,Y49,Y47)</f>
        <v>11073</v>
      </c>
      <c r="Z62" s="287">
        <f>SUM(Z49,Z47,Z41,Z34,Z27,Z21,Z11)</f>
        <v>15698</v>
      </c>
      <c r="AA62" s="287">
        <f>SUM(AA49,AA47,AA41,AA34,AA27,AA21,AA11)</f>
        <v>15404</v>
      </c>
      <c r="AB62" s="286">
        <f>SUM(AV11,AV21,AV27,AV34,AV41,AV47,AV49)</f>
        <v>8462.5849999999991</v>
      </c>
      <c r="AC62" s="288">
        <f>SUM(AC49,AC47,AC41,AC34,AC27,AC21,AC11)</f>
        <v>15856</v>
      </c>
      <c r="AD62" s="286">
        <f>SUM(AD49,AD47,AD41,AD34,AD27,AD21,AD11)</f>
        <v>17103.021000000001</v>
      </c>
      <c r="AE62" s="284">
        <f>SUM(AE49,AE47,AE41,AE34,AE27,AE21,AE11)</f>
        <v>169497.02100000001</v>
      </c>
      <c r="AF62" s="281">
        <f>SUM(AF11,AF21,AF27,AF34,AF41,AF47,AF49)</f>
        <v>154838.36499999999</v>
      </c>
      <c r="AG62" s="281">
        <v>156234</v>
      </c>
      <c r="AH62" s="283">
        <v>175390</v>
      </c>
      <c r="AI62" s="283">
        <v>169014</v>
      </c>
      <c r="AJ62" s="283">
        <v>189264</v>
      </c>
      <c r="AK62" s="278">
        <v>172049</v>
      </c>
      <c r="AL62" s="278">
        <f t="shared" ref="AL62:AU62" si="149">SUM(AL11,AL21,AL27,AL34,AL41,AL47,AL49)</f>
        <v>123636.72200000001</v>
      </c>
      <c r="AM62" s="278">
        <f t="shared" si="149"/>
        <v>107281.68700000001</v>
      </c>
      <c r="AN62" s="278">
        <f t="shared" si="149"/>
        <v>8083.7910000000002</v>
      </c>
      <c r="AO62" s="278">
        <f t="shared" si="149"/>
        <v>9956.1680000000015</v>
      </c>
      <c r="AP62" s="278">
        <f t="shared" si="149"/>
        <v>9890.1899999999987</v>
      </c>
      <c r="AQ62" s="278">
        <f t="shared" si="149"/>
        <v>9081.6620000000003</v>
      </c>
      <c r="AR62" s="278">
        <f t="shared" si="149"/>
        <v>8711.3319999999985</v>
      </c>
      <c r="AS62" s="278">
        <f t="shared" si="149"/>
        <v>8199.8490000000002</v>
      </c>
      <c r="AT62" s="278">
        <f t="shared" si="149"/>
        <v>9858.1679999999997</v>
      </c>
      <c r="AU62" s="278">
        <f t="shared" si="149"/>
        <v>7439.0819999999994</v>
      </c>
      <c r="AV62" s="278">
        <f>SUM(AV11,AV21,AV34,AV41,AV47,AV49)</f>
        <v>8462.5849999999991</v>
      </c>
      <c r="AW62" s="278">
        <f>SUM(AW11,AW21,AW27,AW34,AW41,AW47,AW49)</f>
        <v>9218.023000000001</v>
      </c>
      <c r="AX62" s="278">
        <f>SUM(AX11,AX21,AX27,AX34,AX41,AX47,AX49)</f>
        <v>8831.5420000000013</v>
      </c>
      <c r="AY62" s="278">
        <f>SUM(AY11,AY21,AY27,AY34,AY41,AY47,AY49)</f>
        <v>9548.9049999999988</v>
      </c>
      <c r="AZ62" s="278">
        <f>SUM(AZ11,AZ21,AZ27,AZ34,AZ41,AZ47,AZ49)</f>
        <v>107281.68700000001</v>
      </c>
      <c r="BA62" s="278">
        <f>SUM(BA11,BA21,BA27,BA34,BA41,BA47,BA49)</f>
        <v>167636.927</v>
      </c>
      <c r="BB62" s="278">
        <v>213541.967</v>
      </c>
      <c r="BC62" s="289">
        <f>SUM(BC11,BC21,BC27,BC34,BC41,BC47,BC49)</f>
        <v>224156.57500000001</v>
      </c>
      <c r="BD62" s="289">
        <v>183023.85599999997</v>
      </c>
      <c r="BE62" s="289">
        <v>95422.667000000001</v>
      </c>
      <c r="BF62" s="333">
        <v>126186.587</v>
      </c>
      <c r="BG62" s="333">
        <v>72311.358000000007</v>
      </c>
      <c r="BH62" s="333">
        <v>101255.21799999999</v>
      </c>
      <c r="BI62" s="333">
        <v>176157.18700000001</v>
      </c>
      <c r="BJ62" s="333">
        <v>172527.90100000001</v>
      </c>
      <c r="BK62" s="333">
        <v>196990.84300000002</v>
      </c>
      <c r="BL62" s="333">
        <v>214272.19400000002</v>
      </c>
      <c r="BM62" s="333">
        <v>240172.84599999996</v>
      </c>
      <c r="BN62" s="333">
        <v>196468.77900000001</v>
      </c>
      <c r="BO62" s="333">
        <v>214773.78999999998</v>
      </c>
      <c r="BP62" s="333">
        <v>14811.395</v>
      </c>
      <c r="BQ62" s="333">
        <v>15195.698</v>
      </c>
      <c r="BR62" s="333">
        <v>12049.136</v>
      </c>
      <c r="BS62" s="333">
        <v>14754.022999999997</v>
      </c>
      <c r="BT62" s="333">
        <v>17946.677</v>
      </c>
      <c r="BU62" s="333">
        <v>17094.860999999997</v>
      </c>
      <c r="BV62" s="333">
        <v>14981.762000000001</v>
      </c>
      <c r="BW62" s="333">
        <v>16352.661</v>
      </c>
      <c r="BX62" s="333">
        <v>17649.296000000002</v>
      </c>
      <c r="BY62" s="333">
        <v>20351.166000000001</v>
      </c>
      <c r="BZ62" s="333">
        <v>18333.875</v>
      </c>
      <c r="CA62" s="333">
        <v>196468.77900000001</v>
      </c>
      <c r="CB62" s="333">
        <f>SUM(BP62:CA62)</f>
        <v>375989.32900000003</v>
      </c>
      <c r="CC62" s="333">
        <f t="shared" ref="CC62:CN62" si="150">SUM(CC11,CC21,CC27,CC34,CC41,CC47,CC49)</f>
        <v>17882.915999999997</v>
      </c>
      <c r="CD62" s="333">
        <f t="shared" si="150"/>
        <v>13752.191999999999</v>
      </c>
      <c r="CE62" s="333">
        <f>SUM(CE11,CE21,CE27,CE34,CE41,CE47,CE49)</f>
        <v>12669.56</v>
      </c>
      <c r="CF62" s="333">
        <f t="shared" si="150"/>
        <v>13369.895</v>
      </c>
      <c r="CG62" s="333">
        <f t="shared" si="150"/>
        <v>13547.445</v>
      </c>
      <c r="CH62" s="333">
        <f t="shared" si="150"/>
        <v>13249.824000000001</v>
      </c>
      <c r="CI62" s="333">
        <f t="shared" si="150"/>
        <v>13907.768</v>
      </c>
      <c r="CJ62" s="333">
        <f t="shared" si="150"/>
        <v>20675.714</v>
      </c>
      <c r="CK62" s="333">
        <f t="shared" si="150"/>
        <v>18994.298999999999</v>
      </c>
      <c r="CL62" s="333">
        <f t="shared" si="150"/>
        <v>24332.082000000002</v>
      </c>
      <c r="CM62" s="333">
        <f t="shared" si="150"/>
        <v>25649.273999999998</v>
      </c>
      <c r="CN62" s="333">
        <f t="shared" si="150"/>
        <v>25510.998</v>
      </c>
      <c r="CO62" s="333">
        <f>SUM(CO11,CO21,CO27,CO34,CO41,CO47,CO49)</f>
        <v>213541.967</v>
      </c>
      <c r="CP62" s="333">
        <f>SUM(CP11,CP21,CP27,CP34,CP41,CP47,CP49)</f>
        <v>24698.087</v>
      </c>
      <c r="CQ62" s="333">
        <f t="shared" ref="CQ62:DA62" si="151">SUM(CQ11,CQ21,CQ27,CQ34,CQ41,CQ47,CQ49)</f>
        <v>21655.373</v>
      </c>
      <c r="CR62" s="333">
        <f t="shared" si="151"/>
        <v>22693.85</v>
      </c>
      <c r="CS62" s="333">
        <f t="shared" si="151"/>
        <v>18911.659</v>
      </c>
      <c r="CT62" s="333">
        <f t="shared" si="151"/>
        <v>13807.826000000001</v>
      </c>
      <c r="CU62" s="333">
        <f t="shared" si="151"/>
        <v>16130.659</v>
      </c>
      <c r="CV62" s="333">
        <f t="shared" si="151"/>
        <v>21262.838000000003</v>
      </c>
      <c r="CW62" s="333">
        <f t="shared" si="151"/>
        <v>17978.800999999999</v>
      </c>
      <c r="CX62" s="333">
        <f t="shared" si="151"/>
        <v>17095.679</v>
      </c>
      <c r="CY62" s="333">
        <f t="shared" si="151"/>
        <v>16935.561999999998</v>
      </c>
      <c r="CZ62" s="333">
        <f t="shared" si="151"/>
        <v>18308.071000000004</v>
      </c>
      <c r="DA62" s="333">
        <f t="shared" si="151"/>
        <v>14677.874999999998</v>
      </c>
      <c r="DB62" s="333">
        <f>SUM(DB11,DB21,DB27,DB34,DB41,DB47,DB49)</f>
        <v>224156.28000000003</v>
      </c>
      <c r="DC62" s="333">
        <f t="shared" ref="DC62:DJ62" si="152">SUM(DC11,DC21,DC27,DC34,DC41,DC47,DC49)</f>
        <v>15587.458000000002</v>
      </c>
      <c r="DD62" s="333">
        <f t="shared" si="152"/>
        <v>16217.208000000001</v>
      </c>
      <c r="DE62" s="333">
        <f t="shared" si="152"/>
        <v>18990.832000000002</v>
      </c>
      <c r="DF62" s="333">
        <f t="shared" si="152"/>
        <v>19262.161</v>
      </c>
      <c r="DG62" s="333">
        <f t="shared" si="152"/>
        <v>15309.478999999999</v>
      </c>
      <c r="DH62" s="333">
        <f t="shared" si="152"/>
        <v>17770.199999999997</v>
      </c>
      <c r="DI62" s="333">
        <f t="shared" si="152"/>
        <v>15977.815000000001</v>
      </c>
      <c r="DJ62" s="333">
        <f t="shared" si="152"/>
        <v>14288.802</v>
      </c>
      <c r="DK62" s="333">
        <f>SUM(DK11,DK21,DK27,DK34,DK41,DK47,DK49)</f>
        <v>10122.683000000001</v>
      </c>
      <c r="DL62" s="333">
        <f>SUM(DL11,DL21,DL27,DL34,DL41,DL47,DL49)</f>
        <v>13879.994999999999</v>
      </c>
      <c r="DM62" s="333">
        <f>SUM(DM11,DM21,DM27,DM34,DM41,DM47,DM49)</f>
        <v>13191.367</v>
      </c>
      <c r="DN62" s="333">
        <f>SUM(DN11,DN21,DN27,DN34,DN41,DN47,DN49)</f>
        <v>11427.544999999998</v>
      </c>
      <c r="DO62" s="333">
        <f>SUM(DO11,DO21,DO27,DO34,DO41,DO47,DO49)</f>
        <v>182025.54499999998</v>
      </c>
      <c r="DP62" s="333">
        <f t="shared" ref="DP62:DZ62" si="153">SUM(DP11,DP21,DP27,DP34,DP41,DP47,DP49)</f>
        <v>5800.2139999999999</v>
      </c>
      <c r="DQ62" s="333">
        <f t="shared" si="153"/>
        <v>8424.5679999999993</v>
      </c>
      <c r="DR62" s="333">
        <f t="shared" si="153"/>
        <v>7070.1319999999996</v>
      </c>
      <c r="DS62" s="333">
        <f t="shared" si="153"/>
        <v>5745.2330000000002</v>
      </c>
      <c r="DT62" s="333">
        <f t="shared" si="153"/>
        <v>9480.4750000000004</v>
      </c>
      <c r="DU62" s="333">
        <f t="shared" si="153"/>
        <v>6856.9550000000008</v>
      </c>
      <c r="DV62" s="333">
        <f t="shared" si="153"/>
        <v>7474.3159999999989</v>
      </c>
      <c r="DW62" s="333">
        <f t="shared" si="153"/>
        <v>11953.988000000001</v>
      </c>
      <c r="DX62" s="333">
        <f t="shared" si="153"/>
        <v>9814.2120000000014</v>
      </c>
      <c r="DY62" s="333">
        <f t="shared" si="153"/>
        <v>7303.7260000000006</v>
      </c>
      <c r="DZ62" s="333">
        <f t="shared" si="153"/>
        <v>6213.7730000000001</v>
      </c>
      <c r="EA62" s="333">
        <f t="shared" ref="EA62:EN62" si="154">SUM(EA11,EA21,EA27,EA34,EA41,EA47,EA49)</f>
        <v>9285.0750000000007</v>
      </c>
      <c r="EB62" s="333">
        <f>SUM(EB11,EB21,EB27,EB34,EB41,EB47,EB49)</f>
        <v>95422.667000000001</v>
      </c>
      <c r="EC62" s="333">
        <f t="shared" si="154"/>
        <v>9995.4919999999984</v>
      </c>
      <c r="ED62" s="333">
        <f t="shared" si="154"/>
        <v>7702.826</v>
      </c>
      <c r="EE62" s="333">
        <f t="shared" si="154"/>
        <v>11424.153</v>
      </c>
      <c r="EF62" s="333">
        <f t="shared" si="154"/>
        <v>5987.9029999999984</v>
      </c>
      <c r="EG62" s="333">
        <f t="shared" si="154"/>
        <v>8743.7520000000004</v>
      </c>
      <c r="EH62" s="333">
        <f t="shared" si="154"/>
        <v>10381.774000000001</v>
      </c>
      <c r="EI62" s="333">
        <f t="shared" si="154"/>
        <v>11846.633</v>
      </c>
      <c r="EJ62" s="333">
        <f t="shared" si="154"/>
        <v>12441.026000000002</v>
      </c>
      <c r="EK62" s="333">
        <f t="shared" si="154"/>
        <v>11239.702000000001</v>
      </c>
      <c r="EL62" s="333">
        <f t="shared" si="154"/>
        <v>13552.210999999999</v>
      </c>
      <c r="EM62" s="333">
        <f t="shared" si="154"/>
        <v>11547.132</v>
      </c>
      <c r="EN62" s="333">
        <f t="shared" si="154"/>
        <v>11323.583000000001</v>
      </c>
      <c r="EO62" s="333">
        <f>SUM(EO11,EO21,EO27,EO34,EO41,EO47,EO49)</f>
        <v>126186.18700000001</v>
      </c>
      <c r="EP62" s="333">
        <f t="shared" ref="EP62:FA62" si="155">SUM(EP11,EP21,EP27,EP34,EP41,EP47,EP49)</f>
        <v>9728.232</v>
      </c>
      <c r="EQ62" s="333">
        <f t="shared" si="155"/>
        <v>6416.5990000000002</v>
      </c>
      <c r="ER62" s="333">
        <f t="shared" si="155"/>
        <v>6566.1559999999999</v>
      </c>
      <c r="ES62" s="333" t="e">
        <f t="shared" si="155"/>
        <v>#REF!</v>
      </c>
      <c r="ET62" s="333">
        <f t="shared" si="155"/>
        <v>4606.2660000000005</v>
      </c>
      <c r="EU62" s="333">
        <f t="shared" si="155"/>
        <v>4537.5770000000002</v>
      </c>
      <c r="EV62" s="333">
        <f t="shared" si="155"/>
        <v>4607.9799999999996</v>
      </c>
      <c r="EW62" s="333">
        <f t="shared" si="155"/>
        <v>2971.2229999999995</v>
      </c>
      <c r="EX62" s="333">
        <f t="shared" si="155"/>
        <v>7326.9890000000005</v>
      </c>
      <c r="EY62" s="333">
        <f t="shared" si="155"/>
        <v>3883.65</v>
      </c>
      <c r="EZ62" s="333">
        <f t="shared" si="155"/>
        <v>8791.91</v>
      </c>
      <c r="FA62" s="333">
        <f t="shared" si="155"/>
        <v>6067.9809999999998</v>
      </c>
      <c r="FB62" s="333" t="e">
        <f>SUM(FB11,FB21,FB27,FB34,FB41,FB47,FB49)</f>
        <v>#REF!</v>
      </c>
      <c r="FC62" s="333">
        <f t="shared" ref="FC62:FN62" si="156">SUM(FC11,FC21,FC27,FC34,FC41,FC47,FC49)</f>
        <v>6594.893</v>
      </c>
      <c r="FD62" s="333">
        <f t="shared" si="156"/>
        <v>4482.4219999999996</v>
      </c>
      <c r="FE62" s="333">
        <f t="shared" si="156"/>
        <v>5720.3820000000005</v>
      </c>
      <c r="FF62" s="333">
        <f t="shared" si="156"/>
        <v>6535.3789999999999</v>
      </c>
      <c r="FG62" s="333">
        <f t="shared" si="156"/>
        <v>4488.2259999999997</v>
      </c>
      <c r="FH62" s="333">
        <f t="shared" si="156"/>
        <v>8939.0650000000005</v>
      </c>
      <c r="FI62" s="333">
        <f t="shared" si="156"/>
        <v>10989.005999999999</v>
      </c>
      <c r="FJ62" s="333">
        <f t="shared" si="156"/>
        <v>7683.88</v>
      </c>
      <c r="FK62" s="333">
        <f t="shared" si="156"/>
        <v>11608.647999999997</v>
      </c>
      <c r="FL62" s="333">
        <f t="shared" si="156"/>
        <v>11512.006999999998</v>
      </c>
      <c r="FM62" s="333">
        <f t="shared" si="156"/>
        <v>11438.580999999998</v>
      </c>
      <c r="FN62" s="333">
        <f t="shared" si="156"/>
        <v>11262.728999999999</v>
      </c>
      <c r="FO62" s="333">
        <f>SUM(FO11,FO21,FO27,FO34,FO41,FO47,FO49)</f>
        <v>101255.21799999999</v>
      </c>
      <c r="FP62" s="333">
        <f>SUM(FP11,FP21,FP27,FP34,FP41,FP47,FP49)</f>
        <v>8883.7350000000006</v>
      </c>
      <c r="FQ62" s="333">
        <f>SUM(FQ11,FQ21,FQ27,FQ34,FQ41,FQ47,FQ49)</f>
        <v>11142.895</v>
      </c>
      <c r="FR62" s="333">
        <f>SUM(FR11,FR21,FR27,FR34,FR41,FR47,FR49)</f>
        <v>14657.637000000001</v>
      </c>
      <c r="FS62" s="333">
        <f t="shared" ref="FS62:GA62" si="157">SUM(FS11,FS21,FS27,FS34,FS41,FS47,FS49)</f>
        <v>14578.925999999999</v>
      </c>
      <c r="FT62" s="333">
        <f t="shared" si="157"/>
        <v>13818.67</v>
      </c>
      <c r="FU62" s="333">
        <f t="shared" si="157"/>
        <v>10768.064999999999</v>
      </c>
      <c r="FV62" s="333">
        <f t="shared" si="157"/>
        <v>16126.993999999999</v>
      </c>
      <c r="FW62" s="333">
        <f t="shared" si="157"/>
        <v>16881.781999999999</v>
      </c>
      <c r="FX62" s="333">
        <f t="shared" si="157"/>
        <v>14370.480999999998</v>
      </c>
      <c r="FY62" s="333">
        <f t="shared" si="157"/>
        <v>18589.843999999997</v>
      </c>
      <c r="FZ62" s="333">
        <f t="shared" si="157"/>
        <v>18065.361000000001</v>
      </c>
      <c r="GA62" s="333">
        <f t="shared" si="157"/>
        <v>18272.468000000004</v>
      </c>
      <c r="GB62" s="333">
        <f t="shared" ref="GB62:GN62" si="158">SUM(GB11,GB21,GB27,GB34,GB41,GB47,GB49)</f>
        <v>176156.85800000001</v>
      </c>
      <c r="GC62" s="333">
        <f t="shared" si="158"/>
        <v>14266.624</v>
      </c>
      <c r="GD62" s="333">
        <f t="shared" si="158"/>
        <v>11046.726000000001</v>
      </c>
      <c r="GE62" s="333">
        <f t="shared" si="158"/>
        <v>11454.571</v>
      </c>
      <c r="GF62" s="333">
        <f t="shared" si="158"/>
        <v>12566.162</v>
      </c>
      <c r="GG62" s="333">
        <f t="shared" si="158"/>
        <v>15839.978999999999</v>
      </c>
      <c r="GH62" s="333">
        <f t="shared" si="158"/>
        <v>15968.343000000001</v>
      </c>
      <c r="GI62" s="333">
        <f t="shared" si="158"/>
        <v>14155.742000000002</v>
      </c>
      <c r="GJ62" s="333">
        <f t="shared" si="158"/>
        <v>15215.273999999998</v>
      </c>
      <c r="GK62" s="333">
        <f t="shared" si="158"/>
        <v>14321.248999999998</v>
      </c>
      <c r="GL62" s="333">
        <f>SUM(GL11,GL21,GL27,GL34,GL41,GL47,GL49)</f>
        <v>14556.39</v>
      </c>
      <c r="GM62" s="333">
        <f t="shared" si="158"/>
        <v>17568.43</v>
      </c>
      <c r="GN62" s="333">
        <f t="shared" si="158"/>
        <v>15568.411</v>
      </c>
      <c r="GO62" s="333">
        <f>SUM(GO11,GO21,GO27,GO34,GO41,GO47,GO49)</f>
        <v>172527.90100000001</v>
      </c>
      <c r="GP62" s="333">
        <f>SUM(GP11,GP21,GP27,GP34,GP41,GP47,GP49)</f>
        <v>15344.989000000001</v>
      </c>
      <c r="GQ62" s="333">
        <f>SUM(GQ11,GQ21,GQ27,GQ34,GQ41,GQ47,GQ49)</f>
        <v>19468.971000000001</v>
      </c>
      <c r="GR62" s="333">
        <f t="shared" ref="GR62:GZ62" si="159">SUM(GR11,GR21,GR27,GR34,GR41,GR47,GR49)</f>
        <v>17795.583999999999</v>
      </c>
      <c r="GS62" s="333">
        <f>SUM(GS11,GS21,GS27,GS34,GS41,GS47,GS49)</f>
        <v>19061.371999999999</v>
      </c>
      <c r="GT62" s="333">
        <f t="shared" si="159"/>
        <v>12679.147000000001</v>
      </c>
      <c r="GU62" s="333">
        <f t="shared" si="159"/>
        <v>13118.078000000001</v>
      </c>
      <c r="GV62" s="333">
        <f>SUM(GV11,GV21,GV27,GV34,GV41,GV47,GV49)</f>
        <v>16445.682000000001</v>
      </c>
      <c r="GW62" s="333">
        <f t="shared" si="159"/>
        <v>16906.591</v>
      </c>
      <c r="GX62" s="333">
        <f t="shared" si="159"/>
        <v>14978.954999999998</v>
      </c>
      <c r="GY62" s="333">
        <f t="shared" si="159"/>
        <v>17139.731999999996</v>
      </c>
      <c r="GZ62" s="333">
        <f t="shared" si="159"/>
        <v>15975.866</v>
      </c>
      <c r="HA62" s="333">
        <f>SUM(HA11,HA21,HA27,HA34,HA41,HA47,HA49)</f>
        <v>18075.876</v>
      </c>
      <c r="HB62" s="333">
        <f t="shared" ref="HB62:HM62" si="160">SUM(HB11,HB21,HB27,HB34,HB41,HB47,HB49)</f>
        <v>17980.755000000001</v>
      </c>
      <c r="HC62" s="333">
        <f>SUM(HC11,HC21,HC27,HC34,HC41,HC47,HC49)</f>
        <v>17149.294000000002</v>
      </c>
      <c r="HD62" s="333">
        <f t="shared" si="160"/>
        <v>25748.313000000002</v>
      </c>
      <c r="HE62" s="333">
        <f>SUM(HE11,HE21,HE27,HE34,HE41,HE47,HE49)</f>
        <v>17047.357</v>
      </c>
      <c r="HF62" s="333">
        <f t="shared" si="160"/>
        <v>14866.284</v>
      </c>
      <c r="HG62" s="333">
        <f t="shared" si="160"/>
        <v>15725.491</v>
      </c>
      <c r="HH62" s="333">
        <f t="shared" si="160"/>
        <v>18642.612000000001</v>
      </c>
      <c r="HI62" s="333">
        <f>SUM(HI11,HI21,HI27,HI34,HI41,HI47,HI49)</f>
        <v>18243.739000000001</v>
      </c>
      <c r="HJ62" s="333">
        <f t="shared" si="160"/>
        <v>17371.718000000001</v>
      </c>
      <c r="HK62" s="333">
        <f>SUM(HK11,HK21,HK27,HK34,HK41,HK47,HK49)</f>
        <v>12826.778</v>
      </c>
      <c r="HL62" s="333">
        <f t="shared" si="160"/>
        <v>16550.882999999998</v>
      </c>
      <c r="HM62" s="333">
        <f t="shared" si="160"/>
        <v>22118.97</v>
      </c>
      <c r="HN62" s="333">
        <f>SUM(HB62:HM62)</f>
        <v>214272.19399999999</v>
      </c>
      <c r="HO62" s="333">
        <f>SUM(HO11,HO21,HO27,HO34,HO41,HO47,HO49)</f>
        <v>16354.759999999998</v>
      </c>
      <c r="HP62" s="333">
        <f>HP11+HP21+HP27+HP41+HP47+HP49</f>
        <v>21479.657999999999</v>
      </c>
      <c r="HQ62" s="333">
        <f>HQ11+HQ21+HQ27+HQ41+HQ47+HQ49</f>
        <v>23311.785</v>
      </c>
      <c r="HR62" s="333">
        <f>HR11+HR21+HR27+HR41+HR47+HR49</f>
        <v>18174.779000000002</v>
      </c>
      <c r="HS62" s="333">
        <f>HS11+HS21+HS27+HS41+HS47+HS49</f>
        <v>23310.382000000001</v>
      </c>
      <c r="HT62" s="333">
        <f>HT11+HT21+HT27+HT34+HT47+HT49+HT41</f>
        <v>20869.238999999998</v>
      </c>
      <c r="HU62" s="408">
        <f>HU11+HU21+HU27+HU41+HU47+HU49</f>
        <v>20000.740999999998</v>
      </c>
      <c r="HV62" s="333">
        <f>HV11+HV21+HV27+HV41+HV47+HV49</f>
        <v>17591.343000000001</v>
      </c>
      <c r="HW62" s="333">
        <f>HW11+HW21+HW27+HW34+HW41+HW47+HW49</f>
        <v>19825.092000000004</v>
      </c>
      <c r="HX62" s="333">
        <f>HX11+HX21+HX27+HX34+HX41+HX47+HX49</f>
        <v>17667.072</v>
      </c>
      <c r="HY62" s="333">
        <f>HY11+HY21+HY27+HY34+HY41+HY47+HY49</f>
        <v>23514.876</v>
      </c>
      <c r="HZ62" s="408">
        <f>HZ11+HZ21+HZ27+HZ34+HZ41+HZ47+HZ49</f>
        <v>18073.119000000002</v>
      </c>
      <c r="IA62" s="333">
        <v>16948.228999999999</v>
      </c>
      <c r="IB62" s="333">
        <f t="shared" ref="IB62:II62" si="161">IB11+IB21+IB27+IB34+IB41+IB47+IB49</f>
        <v>14811.395</v>
      </c>
      <c r="IC62" s="333">
        <f t="shared" si="161"/>
        <v>15195.698</v>
      </c>
      <c r="ID62" s="333">
        <f t="shared" si="161"/>
        <v>12049.136</v>
      </c>
      <c r="IE62" s="333">
        <f t="shared" si="161"/>
        <v>14754.022999999997</v>
      </c>
      <c r="IF62" s="333">
        <f t="shared" si="161"/>
        <v>17946.677</v>
      </c>
      <c r="IG62" s="408">
        <f t="shared" si="161"/>
        <v>17094.860999999997</v>
      </c>
      <c r="IH62" s="333">
        <f t="shared" si="161"/>
        <v>14981.762000000001</v>
      </c>
      <c r="II62" s="333">
        <f t="shared" si="161"/>
        <v>16352.661</v>
      </c>
      <c r="IJ62" s="333">
        <f t="shared" ref="IJ62:IZ62" si="162">IJ11+IJ21+IJ27+IJ34+IJ41+IJ47+IJ49</f>
        <v>17649.296000000002</v>
      </c>
      <c r="IK62" s="333">
        <f t="shared" si="162"/>
        <v>20351.166000000001</v>
      </c>
      <c r="IL62" s="333">
        <f t="shared" si="162"/>
        <v>18333.875</v>
      </c>
      <c r="IM62" s="333">
        <f t="shared" si="162"/>
        <v>18082.167000000001</v>
      </c>
      <c r="IN62" s="333">
        <f t="shared" si="162"/>
        <v>13336.565999999999</v>
      </c>
      <c r="IO62" s="333">
        <f t="shared" si="162"/>
        <v>19176.962</v>
      </c>
      <c r="IP62" s="333">
        <f t="shared" si="162"/>
        <v>21060.924999999999</v>
      </c>
      <c r="IQ62" s="333">
        <f t="shared" si="162"/>
        <v>19283.436999999998</v>
      </c>
      <c r="IR62" s="333">
        <f t="shared" si="162"/>
        <v>13276.859</v>
      </c>
      <c r="IS62" s="333">
        <f t="shared" si="162"/>
        <v>16571.334000000003</v>
      </c>
      <c r="IT62" s="333">
        <f t="shared" si="162"/>
        <v>17548.131000000001</v>
      </c>
      <c r="IU62" s="333">
        <f t="shared" si="162"/>
        <v>16786.594000000001</v>
      </c>
      <c r="IV62" s="333">
        <f t="shared" si="162"/>
        <v>21480.006000000001</v>
      </c>
      <c r="IW62" s="333">
        <f t="shared" si="162"/>
        <v>27510.935999999998</v>
      </c>
      <c r="IX62" s="333">
        <f t="shared" si="162"/>
        <v>39208.834000000003</v>
      </c>
      <c r="IY62" s="333">
        <f t="shared" si="162"/>
        <v>27971.553</v>
      </c>
      <c r="IZ62" s="333">
        <f t="shared" si="162"/>
        <v>20417.657999999999</v>
      </c>
      <c r="JA62" s="333"/>
      <c r="JB62" s="333"/>
      <c r="JC62" s="333"/>
      <c r="JD62" s="333"/>
      <c r="JE62" s="333"/>
      <c r="JF62" s="333"/>
      <c r="JG62" s="333"/>
      <c r="JH62" s="333"/>
      <c r="JI62" s="333"/>
      <c r="JJ62" s="333"/>
      <c r="JK62" s="333">
        <f>+JK11+JK21+JK27+JK34+JK41+JK47+JK49</f>
        <v>31418.733</v>
      </c>
      <c r="JL62" s="333">
        <f>+JL11+JL21+JL27+JL34+JL41+JL47+JL49</f>
        <v>48389.211000000003</v>
      </c>
      <c r="JM62" s="290"/>
      <c r="JN62" s="290"/>
      <c r="JO62" s="290"/>
      <c r="JP62" s="290"/>
      <c r="JQ62" s="290"/>
      <c r="JR62" s="290"/>
      <c r="JS62" s="290"/>
      <c r="JT62" s="282"/>
      <c r="JU62" s="282"/>
    </row>
    <row r="63" spans="1:281" x14ac:dyDescent="0.25">
      <c r="A63" s="87"/>
      <c r="B63" s="44"/>
      <c r="C63" s="44"/>
      <c r="D63" s="44"/>
      <c r="E63" s="43"/>
      <c r="F63" s="43"/>
      <c r="G63" s="43"/>
      <c r="H63" s="43"/>
      <c r="I63" s="43"/>
      <c r="J63" s="43"/>
      <c r="K63" s="43"/>
      <c r="L63" s="43"/>
      <c r="M63" s="43"/>
      <c r="N63" s="122"/>
      <c r="O63" s="123"/>
      <c r="P63" s="122"/>
      <c r="Q63" s="123"/>
      <c r="R63" s="123"/>
      <c r="S63" s="122"/>
      <c r="T63" s="146"/>
      <c r="U63" s="123"/>
      <c r="V63" s="123"/>
      <c r="W63" s="123"/>
      <c r="X63" s="123"/>
      <c r="Y63" s="123"/>
      <c r="Z63" s="123"/>
      <c r="AA63" s="123"/>
      <c r="AB63" s="123"/>
      <c r="AC63" s="124"/>
      <c r="AD63" s="123"/>
      <c r="AE63" s="125"/>
      <c r="AF63" s="126"/>
      <c r="AG63" s="126"/>
      <c r="AH63" s="126"/>
      <c r="AI63" s="126"/>
      <c r="AJ63" s="126"/>
      <c r="AK63" s="126"/>
      <c r="AL63" s="126"/>
      <c r="AM63" s="126"/>
      <c r="AN63" s="124"/>
      <c r="AO63" s="124"/>
      <c r="AP63" s="123"/>
      <c r="AQ63" s="123"/>
      <c r="AR63" s="127"/>
      <c r="AS63" s="123"/>
      <c r="AT63" s="123"/>
      <c r="AU63" s="124"/>
      <c r="AV63" s="123"/>
      <c r="AW63" s="123"/>
      <c r="AX63" s="124"/>
      <c r="AY63" s="147"/>
      <c r="AZ63" s="126"/>
      <c r="BA63" s="126"/>
      <c r="BB63" s="126"/>
      <c r="BC63" s="126"/>
      <c r="BD63" s="126"/>
      <c r="BE63" s="126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1"/>
      <c r="FK63" s="191"/>
      <c r="FL63" s="191"/>
      <c r="FM63" s="191"/>
      <c r="FN63" s="191"/>
      <c r="FO63" s="191"/>
      <c r="FP63" s="191"/>
      <c r="FQ63" s="191"/>
      <c r="FR63" s="191"/>
      <c r="FS63" s="191"/>
      <c r="FT63" s="191"/>
      <c r="FU63" s="191"/>
      <c r="FV63" s="191"/>
      <c r="FW63" s="191"/>
      <c r="FX63" s="191"/>
      <c r="FY63" s="191"/>
      <c r="FZ63" s="191"/>
      <c r="GA63" s="191"/>
      <c r="GB63" s="191"/>
      <c r="GC63" s="191"/>
      <c r="GD63" s="191"/>
      <c r="GE63" s="191"/>
      <c r="GF63" s="191"/>
      <c r="GG63" s="191"/>
      <c r="GH63" s="191"/>
      <c r="GI63" s="191"/>
      <c r="GJ63" s="191"/>
      <c r="GK63" s="191"/>
      <c r="GL63" s="191"/>
      <c r="GM63" s="191"/>
      <c r="GN63" s="191"/>
      <c r="GO63" s="332"/>
      <c r="GP63" s="332"/>
      <c r="GQ63" s="332"/>
      <c r="GR63" s="332"/>
      <c r="GS63" s="332"/>
      <c r="GT63" s="332"/>
      <c r="GU63" s="332"/>
      <c r="GV63" s="332"/>
      <c r="GW63" s="332"/>
      <c r="GX63" s="332"/>
      <c r="GY63" s="332"/>
      <c r="GZ63" s="332"/>
      <c r="HA63" s="332"/>
      <c r="HB63" s="332"/>
      <c r="HC63" s="332"/>
      <c r="HD63" s="332"/>
      <c r="HE63" s="332"/>
      <c r="HF63" s="332"/>
      <c r="HG63" s="332"/>
      <c r="HH63" s="332"/>
      <c r="HI63" s="332"/>
      <c r="HJ63" s="332"/>
      <c r="HK63" s="332"/>
      <c r="HL63" s="332"/>
      <c r="HM63" s="332"/>
      <c r="HN63" s="332"/>
      <c r="HO63" s="332"/>
      <c r="HP63" s="332"/>
      <c r="HQ63" s="332"/>
      <c r="HR63" s="332"/>
      <c r="HS63" s="332"/>
      <c r="HT63" s="332"/>
      <c r="HU63" s="432"/>
      <c r="HV63" s="378"/>
      <c r="HW63" s="378"/>
      <c r="HX63" s="378"/>
      <c r="HY63" s="378"/>
      <c r="HZ63" s="417"/>
      <c r="IA63" s="378"/>
      <c r="IB63" s="378"/>
      <c r="IC63" s="378"/>
      <c r="ID63" s="378"/>
      <c r="IE63" s="378"/>
      <c r="IF63" s="378"/>
      <c r="IG63" s="417"/>
      <c r="IH63" s="417"/>
      <c r="II63" s="417"/>
      <c r="IJ63" s="417"/>
      <c r="IK63" s="417"/>
      <c r="IL63" s="417"/>
      <c r="IM63" s="417"/>
      <c r="IN63" s="417"/>
      <c r="IO63" s="417"/>
      <c r="IP63" s="417"/>
      <c r="IQ63" s="417"/>
      <c r="IR63" s="417"/>
      <c r="IS63" s="417"/>
      <c r="IT63" s="417"/>
      <c r="IU63" s="417"/>
      <c r="IV63" s="417"/>
      <c r="IW63" s="417"/>
      <c r="IX63" s="417"/>
      <c r="IY63" s="417"/>
      <c r="IZ63" s="417"/>
      <c r="JA63" s="417"/>
      <c r="JB63" s="417"/>
      <c r="JC63" s="417"/>
      <c r="JD63" s="417"/>
      <c r="JE63" s="417"/>
      <c r="JF63" s="417"/>
      <c r="JG63" s="417"/>
      <c r="JH63" s="417"/>
      <c r="JI63" s="417"/>
      <c r="JJ63" s="417"/>
      <c r="JK63" s="417"/>
      <c r="JL63" s="417"/>
      <c r="JM63" s="15"/>
      <c r="JN63" s="15"/>
      <c r="JO63" s="15"/>
      <c r="JP63" s="15"/>
      <c r="JQ63" s="15"/>
      <c r="JR63" s="15"/>
      <c r="JS63" s="15"/>
      <c r="JT63" s="15"/>
      <c r="JU63" s="15"/>
    </row>
    <row r="64" spans="1:281" x14ac:dyDescent="0.25">
      <c r="A64" s="54"/>
      <c r="B64" s="28"/>
      <c r="C64" s="28"/>
      <c r="D64" s="28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28"/>
      <c r="P64" s="90"/>
      <c r="Q64" s="28"/>
      <c r="R64" s="90"/>
      <c r="S64" s="28"/>
      <c r="T64" s="90"/>
      <c r="U64" s="28"/>
      <c r="V64" s="28"/>
      <c r="W64" s="28"/>
      <c r="X64" s="28"/>
      <c r="Y64" s="90"/>
      <c r="Z64" s="90"/>
      <c r="AA64" s="90"/>
      <c r="AB64" s="90"/>
      <c r="AC64" s="90"/>
      <c r="AD64" s="90"/>
      <c r="AE64" s="149"/>
      <c r="AF64" s="149"/>
      <c r="AG64" s="149"/>
      <c r="AH64" s="149"/>
      <c r="AI64" s="149"/>
      <c r="AJ64" s="149"/>
      <c r="AK64" s="149"/>
      <c r="AL64" s="149"/>
      <c r="AM64" s="149"/>
      <c r="AN64" s="90"/>
      <c r="AO64" s="28"/>
      <c r="AP64" s="28"/>
      <c r="AQ64" s="28"/>
      <c r="AR64" s="15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351"/>
      <c r="BM64" s="351"/>
      <c r="BN64" s="351"/>
      <c r="BO64" s="351"/>
      <c r="BP64" s="90"/>
      <c r="BQ64" s="28"/>
      <c r="BR64" s="28"/>
      <c r="BS64" s="28"/>
      <c r="BT64" s="151"/>
      <c r="BU64" s="90"/>
      <c r="BV64" s="90"/>
      <c r="BW64" s="90"/>
      <c r="BX64" s="90"/>
      <c r="BY64" s="90"/>
      <c r="BZ64" s="90"/>
      <c r="CA64" s="90"/>
      <c r="CB64" s="15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150"/>
      <c r="DB64" s="150"/>
      <c r="DC64" s="28"/>
      <c r="DD64" s="150"/>
      <c r="DE64" s="150"/>
      <c r="DF64" s="150"/>
      <c r="DG64" s="150"/>
      <c r="DH64" s="187"/>
      <c r="DI64" s="187"/>
      <c r="DJ64" s="187"/>
      <c r="DK64" s="187"/>
      <c r="DL64" s="187"/>
      <c r="DM64" s="187"/>
      <c r="DN64" s="187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299"/>
      <c r="GD64" s="299"/>
      <c r="GE64" s="299"/>
      <c r="GF64" s="136"/>
      <c r="GG64" s="136"/>
      <c r="GH64" s="136"/>
      <c r="GI64" s="136"/>
      <c r="GJ64" s="136"/>
      <c r="GK64" s="136"/>
      <c r="GL64" s="136"/>
      <c r="GM64" s="136"/>
      <c r="GN64" s="136"/>
      <c r="GO64" s="316"/>
      <c r="GP64" s="316"/>
      <c r="GQ64" s="3"/>
      <c r="GR64" s="316"/>
      <c r="GS64" s="316"/>
      <c r="GT64" s="324"/>
      <c r="GU64" s="324"/>
      <c r="GV64" s="316"/>
      <c r="GW64" s="316"/>
      <c r="GX64" s="316"/>
      <c r="GY64" s="316"/>
      <c r="GZ64" s="316"/>
      <c r="HA64" s="316"/>
      <c r="HB64" s="316"/>
      <c r="HC64" s="316"/>
      <c r="HD64" s="324"/>
      <c r="HE64" s="324"/>
      <c r="HF64" s="324"/>
      <c r="HG64" s="324"/>
      <c r="HH64" s="324"/>
      <c r="HI64" s="324"/>
      <c r="HJ64" s="324"/>
      <c r="HK64" s="324"/>
      <c r="HL64" s="324"/>
      <c r="HM64" s="324"/>
      <c r="HS64" s="322"/>
      <c r="HT64" s="322"/>
      <c r="HV64" s="355"/>
      <c r="HW64" s="355"/>
      <c r="HX64" s="355"/>
      <c r="HZ64" s="399"/>
      <c r="IA64" s="399"/>
      <c r="IB64" s="399"/>
      <c r="IC64" s="399"/>
      <c r="ID64" s="399"/>
      <c r="IE64" s="399"/>
      <c r="IF64" s="399"/>
      <c r="IG64" s="355"/>
      <c r="IH64" s="355"/>
      <c r="II64" s="355"/>
      <c r="IJ64" s="355"/>
      <c r="IK64" s="355"/>
      <c r="IL64" s="355"/>
      <c r="IM64" s="355"/>
      <c r="IN64" s="355"/>
      <c r="IO64" s="355"/>
      <c r="IP64" s="355"/>
      <c r="IQ64" s="355"/>
      <c r="IR64" s="355"/>
      <c r="IS64" s="355"/>
      <c r="IT64" s="355"/>
      <c r="IU64" s="355"/>
      <c r="IV64" s="355"/>
      <c r="IW64" s="355"/>
      <c r="IX64" s="355"/>
      <c r="IY64" s="355"/>
      <c r="IZ64" s="355"/>
      <c r="JA64" s="355"/>
      <c r="JB64" s="355"/>
      <c r="JC64" s="355"/>
      <c r="JD64" s="355"/>
      <c r="JE64" s="355"/>
      <c r="JF64" s="355"/>
      <c r="JG64" s="355"/>
      <c r="JH64" s="355"/>
      <c r="JI64" s="355"/>
      <c r="JJ64" s="355"/>
      <c r="JK64" s="355"/>
      <c r="JL64" s="355"/>
      <c r="JM64" s="16"/>
      <c r="JN64" s="16"/>
      <c r="JO64" s="16"/>
      <c r="JP64" s="16"/>
      <c r="JQ64" s="16"/>
      <c r="JR64" s="16"/>
      <c r="JS64" s="16"/>
      <c r="JT64" s="9"/>
      <c r="JU64" s="9"/>
    </row>
    <row r="65" spans="1:281" ht="18.75" x14ac:dyDescent="0.3">
      <c r="A65" s="478" t="s">
        <v>78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/>
      <c r="CC65" s="479"/>
      <c r="CD65" s="479"/>
      <c r="CE65" s="479"/>
      <c r="CF65" s="479"/>
      <c r="CG65" s="479"/>
      <c r="CH65" s="479"/>
      <c r="CI65" s="479"/>
      <c r="CJ65" s="479"/>
      <c r="CK65" s="479"/>
      <c r="CL65" s="479"/>
      <c r="CM65" s="479"/>
      <c r="CN65" s="479"/>
      <c r="CO65" s="479"/>
      <c r="CP65" s="479"/>
      <c r="CQ65" s="479"/>
      <c r="CR65" s="479"/>
      <c r="CS65" s="479"/>
      <c r="CT65" s="479"/>
      <c r="CU65" s="479"/>
      <c r="CV65" s="479"/>
      <c r="CW65" s="479"/>
      <c r="CX65" s="479"/>
      <c r="CY65" s="479"/>
      <c r="CZ65" s="479"/>
      <c r="DA65" s="479"/>
      <c r="DB65" s="479"/>
      <c r="DC65" s="479"/>
      <c r="DD65" s="479"/>
      <c r="DE65" s="479"/>
      <c r="DF65" s="479"/>
      <c r="DG65" s="479"/>
      <c r="DH65" s="479"/>
      <c r="DI65" s="479"/>
      <c r="DJ65" s="479"/>
      <c r="DK65" s="479"/>
      <c r="DL65" s="479"/>
      <c r="DM65" s="479"/>
      <c r="DN65" s="479"/>
      <c r="DO65" s="479"/>
      <c r="DP65" s="479"/>
      <c r="DQ65" s="479"/>
      <c r="DR65" s="479"/>
      <c r="DS65" s="479"/>
      <c r="DT65" s="479"/>
      <c r="DU65" s="479"/>
      <c r="DV65" s="479"/>
      <c r="DW65" s="479"/>
      <c r="DX65" s="479"/>
      <c r="DY65" s="479"/>
      <c r="DZ65" s="479"/>
      <c r="EA65" s="479"/>
      <c r="EB65" s="479"/>
      <c r="EC65" s="479"/>
      <c r="ED65" s="479"/>
      <c r="EE65" s="479"/>
      <c r="EF65" s="479"/>
      <c r="EG65" s="479"/>
      <c r="EH65" s="479"/>
      <c r="EI65" s="479"/>
      <c r="EJ65" s="479"/>
      <c r="EK65" s="479"/>
      <c r="EL65" s="479"/>
      <c r="EM65" s="479"/>
      <c r="EN65" s="479"/>
      <c r="EO65" s="479"/>
      <c r="EP65" s="1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294"/>
      <c r="GD65" s="294"/>
      <c r="GE65" s="294"/>
      <c r="GF65" s="294"/>
      <c r="GG65" s="294"/>
      <c r="GH65" s="294"/>
      <c r="GI65" s="294"/>
      <c r="GJ65" s="294"/>
      <c r="GK65" s="294"/>
      <c r="GL65" s="294"/>
      <c r="GM65" s="294"/>
      <c r="GN65" s="294"/>
      <c r="GO65" s="310"/>
      <c r="HL65" s="370"/>
      <c r="HS65" s="271"/>
      <c r="HT65" s="371"/>
      <c r="HU65" s="433"/>
      <c r="HV65" s="383"/>
      <c r="HW65" s="390"/>
      <c r="HX65" s="390"/>
      <c r="HY65" s="390"/>
      <c r="HZ65" s="418"/>
      <c r="IA65" s="418"/>
      <c r="IB65" s="418"/>
      <c r="IC65" s="418"/>
      <c r="ID65" s="418"/>
      <c r="IE65" s="418"/>
      <c r="IF65" s="418"/>
      <c r="IG65" s="418"/>
      <c r="IH65" s="418"/>
      <c r="II65" s="418"/>
      <c r="IJ65" s="418"/>
      <c r="IK65" s="418"/>
      <c r="IL65" s="418"/>
      <c r="IM65" s="418"/>
      <c r="IN65" s="418"/>
      <c r="IO65" s="418"/>
      <c r="IP65" s="418"/>
      <c r="IQ65" s="418"/>
      <c r="IR65" s="418"/>
      <c r="IS65" s="418"/>
      <c r="IT65" s="418"/>
      <c r="IU65" s="418"/>
      <c r="IV65" s="418"/>
      <c r="IW65" s="418"/>
      <c r="IX65" s="418"/>
      <c r="IY65" s="418"/>
      <c r="IZ65" s="418"/>
      <c r="JA65" s="418"/>
      <c r="JB65" s="418"/>
      <c r="JC65" s="418"/>
      <c r="JD65" s="418"/>
      <c r="JE65" s="418"/>
      <c r="JF65" s="418"/>
      <c r="JG65" s="418"/>
      <c r="JH65" s="418"/>
      <c r="JI65" s="418"/>
      <c r="JJ65" s="418"/>
      <c r="JK65" s="418"/>
      <c r="JL65" s="418"/>
      <c r="JM65" s="1"/>
      <c r="JN65" s="5"/>
      <c r="JO65" s="5"/>
      <c r="JP65" s="5"/>
      <c r="JQ65" s="5"/>
      <c r="JR65" s="5"/>
      <c r="JS65" s="5"/>
      <c r="JT65" s="5"/>
      <c r="JU65" s="5"/>
    </row>
    <row r="66" spans="1:281" x14ac:dyDescent="0.25">
      <c r="A66" s="489" t="s">
        <v>91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  <c r="AV66" s="490"/>
      <c r="AW66" s="490"/>
      <c r="AX66" s="490"/>
      <c r="AY66" s="490"/>
      <c r="AZ66" s="490"/>
      <c r="BA66" s="490"/>
      <c r="BB66" s="490"/>
      <c r="BC66" s="490"/>
      <c r="BD66" s="490"/>
      <c r="BE66" s="490"/>
      <c r="BF66" s="490"/>
      <c r="BG66" s="490"/>
      <c r="BH66" s="490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0"/>
      <c r="BT66" s="490"/>
      <c r="BU66" s="490"/>
      <c r="BV66" s="490"/>
      <c r="BW66" s="490"/>
      <c r="BX66" s="490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  <c r="DB66" s="490"/>
      <c r="DC66" s="490"/>
      <c r="DD66" s="490"/>
      <c r="DE66" s="490"/>
      <c r="DF66" s="490"/>
      <c r="DG66" s="490"/>
      <c r="DH66" s="490"/>
      <c r="DI66" s="490"/>
      <c r="DJ66" s="490"/>
      <c r="DK66" s="490"/>
      <c r="DL66" s="490"/>
      <c r="DM66" s="490"/>
      <c r="DN66" s="490"/>
      <c r="DO66" s="490"/>
      <c r="DP66" s="490"/>
      <c r="DQ66" s="490"/>
      <c r="DR66" s="490"/>
      <c r="DS66" s="490"/>
      <c r="DT66" s="490"/>
      <c r="DU66" s="490"/>
      <c r="DV66" s="490"/>
      <c r="DW66" s="490"/>
      <c r="DX66" s="490"/>
      <c r="DY66" s="490"/>
      <c r="DZ66" s="490"/>
      <c r="EA66" s="490"/>
      <c r="EB66" s="490"/>
      <c r="EC66" s="490"/>
      <c r="ED66" s="490"/>
      <c r="EE66" s="490"/>
      <c r="EF66" s="490"/>
      <c r="EG66" s="490"/>
      <c r="EH66" s="490"/>
      <c r="EI66" s="490"/>
      <c r="EJ66" s="490"/>
      <c r="EK66" s="490"/>
      <c r="EL66" s="490"/>
      <c r="EM66" s="490"/>
      <c r="EN66" s="490"/>
      <c r="EO66" s="490"/>
      <c r="EP66" s="1"/>
      <c r="EQ66" s="234"/>
      <c r="ER66" s="234"/>
      <c r="ES66" s="234"/>
      <c r="ET66" s="234"/>
      <c r="EU66" s="234"/>
      <c r="EV66" s="234"/>
      <c r="EW66" s="234"/>
      <c r="EX66" s="234"/>
      <c r="EY66" s="234"/>
      <c r="EZ66" s="234"/>
      <c r="FA66" s="234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294"/>
      <c r="GD66" s="294"/>
      <c r="GE66" s="294"/>
      <c r="GF66" s="1"/>
      <c r="GG66" s="1"/>
      <c r="GH66" s="1"/>
      <c r="GI66" s="1"/>
      <c r="GJ66" s="1"/>
      <c r="GK66" s="1"/>
      <c r="GL66" s="1"/>
      <c r="GM66" s="1"/>
      <c r="GN66" s="1"/>
      <c r="GO66" s="316"/>
      <c r="GP66" s="316"/>
      <c r="GQ66" s="3"/>
      <c r="GR66" s="316"/>
      <c r="GS66" s="316"/>
      <c r="GT66" s="324"/>
      <c r="GU66" s="324"/>
      <c r="GV66" s="316"/>
      <c r="GW66" s="316"/>
      <c r="GX66" s="316"/>
      <c r="GY66" s="316"/>
      <c r="GZ66" s="316"/>
      <c r="HA66" s="316"/>
      <c r="HB66" s="316"/>
      <c r="HC66" s="316"/>
      <c r="HD66" s="324"/>
      <c r="HE66" s="324"/>
      <c r="HF66" s="324"/>
      <c r="HG66" s="324"/>
      <c r="HH66" s="324"/>
      <c r="HI66" s="324"/>
      <c r="HJ66" s="324"/>
      <c r="HK66" s="324"/>
      <c r="HL66" s="324"/>
      <c r="HM66" s="324"/>
      <c r="HS66" s="371"/>
      <c r="HT66" s="271"/>
      <c r="HU66" s="434"/>
      <c r="HV66" s="383"/>
      <c r="HW66" s="383"/>
      <c r="HX66" s="396"/>
      <c r="HY66" s="396"/>
      <c r="HZ66" s="419"/>
      <c r="IA66" s="419"/>
      <c r="IB66" s="419"/>
      <c r="IC66" s="419"/>
      <c r="ID66" s="419"/>
      <c r="IE66" s="419"/>
      <c r="IF66" s="419"/>
      <c r="IG66" s="419"/>
      <c r="IH66" s="419"/>
      <c r="II66" s="419"/>
      <c r="IJ66" s="419"/>
      <c r="IK66" s="419"/>
      <c r="IL66" s="419"/>
      <c r="IM66" s="419"/>
      <c r="IN66" s="419"/>
      <c r="IO66" s="419"/>
      <c r="IP66" s="419"/>
      <c r="IQ66" s="419"/>
      <c r="IR66" s="419"/>
      <c r="IS66" s="419"/>
      <c r="IT66" s="419"/>
      <c r="IU66" s="419"/>
      <c r="IV66" s="419"/>
      <c r="IW66" s="419"/>
      <c r="IX66" s="419"/>
      <c r="IY66" s="419"/>
      <c r="IZ66" s="419"/>
      <c r="JA66" s="419"/>
      <c r="JB66" s="419"/>
      <c r="JC66" s="419"/>
      <c r="JD66" s="419"/>
      <c r="JE66" s="419"/>
      <c r="JF66" s="419"/>
      <c r="JG66" s="419"/>
      <c r="JH66" s="419"/>
      <c r="JI66" s="419"/>
      <c r="JJ66" s="419"/>
      <c r="JK66" s="419"/>
      <c r="JL66" s="419"/>
      <c r="JM66" s="1"/>
      <c r="JN66" s="5"/>
      <c r="JO66" s="5"/>
      <c r="JP66" s="5"/>
      <c r="JQ66" s="5"/>
      <c r="JR66" s="5"/>
      <c r="JS66" s="5"/>
      <c r="JT66" s="23"/>
      <c r="JU66" s="23"/>
    </row>
    <row r="67" spans="1:281" x14ac:dyDescent="0.25">
      <c r="A67" s="89"/>
      <c r="B67" s="44"/>
      <c r="C67" s="44"/>
      <c r="D67" s="44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2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153"/>
      <c r="AF67" s="153"/>
      <c r="AG67" s="153"/>
      <c r="AH67" s="153"/>
      <c r="AI67" s="153"/>
      <c r="AJ67" s="153"/>
      <c r="AK67" s="153"/>
      <c r="AL67" s="153"/>
      <c r="AM67" s="153"/>
      <c r="AN67" s="43"/>
      <c r="AO67" s="43"/>
      <c r="AP67" s="43"/>
      <c r="AQ67" s="43"/>
      <c r="AR67" s="154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154"/>
      <c r="BU67" s="43"/>
      <c r="BV67" s="43"/>
      <c r="BW67" s="43"/>
      <c r="BX67" s="43"/>
      <c r="BY67" s="43"/>
      <c r="BZ67" s="43"/>
      <c r="CA67" s="43"/>
      <c r="CB67" s="155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155"/>
      <c r="DB67" s="155"/>
      <c r="DC67" s="44"/>
      <c r="DD67" s="155"/>
      <c r="DE67" s="155"/>
      <c r="DF67" s="155"/>
      <c r="DG67" s="155"/>
      <c r="DH67" s="156"/>
      <c r="DI67" s="156"/>
      <c r="DJ67" s="156"/>
      <c r="DK67" s="156"/>
      <c r="DL67" s="156"/>
      <c r="DM67" s="156"/>
      <c r="DN67" s="15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300"/>
      <c r="GD67" s="300"/>
      <c r="GE67" s="300"/>
      <c r="GF67" s="146"/>
      <c r="GG67" s="146"/>
      <c r="GH67" s="146"/>
      <c r="GI67" s="146"/>
      <c r="GJ67" s="146"/>
      <c r="GK67" s="146"/>
      <c r="GL67" s="146"/>
      <c r="GM67" s="146"/>
      <c r="GN67" s="146"/>
      <c r="GO67" s="317"/>
      <c r="GP67" s="317"/>
      <c r="GQ67" s="254"/>
      <c r="GR67" s="317"/>
      <c r="GS67" s="317"/>
      <c r="GT67" s="325"/>
      <c r="GU67" s="325"/>
      <c r="GV67" s="317"/>
      <c r="GW67" s="317"/>
      <c r="GX67" s="317"/>
      <c r="GY67" s="317"/>
      <c r="GZ67" s="317"/>
      <c r="HA67" s="317"/>
      <c r="HB67" s="317"/>
      <c r="HC67" s="317"/>
      <c r="HD67" s="344"/>
      <c r="HE67" s="344"/>
      <c r="HF67" s="344"/>
      <c r="HG67" s="344"/>
      <c r="HH67" s="344"/>
      <c r="HI67" s="344"/>
      <c r="HJ67" s="344"/>
      <c r="HK67" s="344"/>
      <c r="HL67" s="344"/>
      <c r="HM67" s="344"/>
      <c r="HS67" s="271"/>
      <c r="HT67" s="271"/>
      <c r="HV67" s="383"/>
      <c r="HW67" s="383"/>
      <c r="HX67" s="395"/>
      <c r="HY67" s="395"/>
      <c r="HZ67" s="420"/>
      <c r="IA67" s="420"/>
      <c r="IB67" s="420"/>
      <c r="IC67" s="420"/>
      <c r="ID67" s="420"/>
      <c r="IE67" s="420"/>
      <c r="IF67" s="420"/>
      <c r="IG67" s="420"/>
      <c r="IH67" s="420"/>
      <c r="II67" s="420"/>
      <c r="IJ67" s="420"/>
      <c r="IK67" s="420"/>
      <c r="IL67" s="420"/>
      <c r="IM67" s="420"/>
      <c r="IN67" s="420"/>
      <c r="IO67" s="420"/>
      <c r="IP67" s="420"/>
      <c r="IQ67" s="420"/>
      <c r="IR67" s="420"/>
      <c r="IS67" s="420"/>
      <c r="IT67" s="420"/>
      <c r="IU67" s="420"/>
      <c r="IV67" s="420"/>
      <c r="IW67" s="420"/>
      <c r="IX67" s="420"/>
      <c r="IY67" s="420"/>
      <c r="IZ67" s="420"/>
      <c r="JA67" s="420"/>
      <c r="JB67" s="420"/>
      <c r="JC67" s="420"/>
      <c r="JD67" s="420"/>
      <c r="JE67" s="420"/>
      <c r="JF67" s="420"/>
      <c r="JG67" s="420"/>
      <c r="JH67" s="420"/>
      <c r="JI67" s="420"/>
      <c r="JJ67" s="420"/>
      <c r="JK67" s="420"/>
      <c r="JL67" s="420"/>
      <c r="JM67" s="1"/>
      <c r="JN67" s="5"/>
      <c r="JO67" s="5"/>
      <c r="JP67" s="5"/>
      <c r="JQ67" s="5"/>
      <c r="JR67" s="5"/>
      <c r="JS67" s="5"/>
      <c r="JT67" s="23"/>
      <c r="JU67" s="23"/>
    </row>
    <row r="68" spans="1:281" x14ac:dyDescent="0.25">
      <c r="A68" s="157"/>
      <c r="B68" s="34"/>
      <c r="C68" s="34"/>
      <c r="D68" s="34"/>
      <c r="E68" s="158"/>
      <c r="F68" s="158"/>
      <c r="G68" s="158"/>
      <c r="H68" s="158"/>
      <c r="I68" s="158"/>
      <c r="J68" s="158"/>
      <c r="K68" s="158"/>
      <c r="L68" s="158"/>
      <c r="M68" s="158"/>
      <c r="N68" s="159"/>
      <c r="O68" s="160"/>
      <c r="P68" s="159"/>
      <c r="Q68" s="159"/>
      <c r="R68" s="159"/>
      <c r="S68" s="158"/>
      <c r="T68" s="158"/>
      <c r="U68" s="158"/>
      <c r="V68" s="158"/>
      <c r="W68" s="159"/>
      <c r="X68" s="161"/>
      <c r="Y68" s="159"/>
      <c r="Z68" s="161"/>
      <c r="AA68" s="161"/>
      <c r="AB68" s="161"/>
      <c r="AC68" s="159"/>
      <c r="AD68" s="161"/>
      <c r="AE68" s="162"/>
      <c r="AF68" s="163"/>
      <c r="AG68" s="163"/>
      <c r="AH68" s="162"/>
      <c r="AI68" s="162"/>
      <c r="AJ68" s="162"/>
      <c r="AK68" s="162"/>
      <c r="AL68" s="162"/>
      <c r="AM68" s="162"/>
      <c r="AN68" s="164"/>
      <c r="AO68" s="164"/>
      <c r="AP68" s="159"/>
      <c r="AQ68" s="161"/>
      <c r="AR68" s="101"/>
      <c r="AS68" s="161"/>
      <c r="AT68" s="161"/>
      <c r="AU68" s="161"/>
      <c r="AV68" s="161"/>
      <c r="AW68" s="161"/>
      <c r="AX68" s="159"/>
      <c r="AY68" s="164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65"/>
      <c r="BR68" s="164"/>
      <c r="BS68" s="164"/>
      <c r="BT68" s="141"/>
      <c r="BU68" s="164"/>
      <c r="BV68" s="164"/>
      <c r="BW68" s="164"/>
      <c r="BX68" s="164"/>
      <c r="BY68" s="164"/>
      <c r="BZ68" s="164"/>
      <c r="CA68" s="164"/>
      <c r="CB68" s="95"/>
      <c r="CC68" s="161"/>
      <c r="CD68" s="161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95"/>
      <c r="DB68" s="95"/>
      <c r="DC68" s="41"/>
      <c r="DD68" s="95"/>
      <c r="DE68" s="95"/>
      <c r="DF68" s="95"/>
      <c r="DG68" s="95"/>
      <c r="DH68" s="100"/>
      <c r="DI68" s="100"/>
      <c r="DJ68" s="100"/>
      <c r="DK68" s="100"/>
      <c r="DL68" s="100"/>
      <c r="DM68" s="100"/>
      <c r="DN68" s="100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180"/>
      <c r="GD68" s="180"/>
      <c r="GE68" s="180"/>
      <c r="GF68" s="96"/>
      <c r="GG68" s="96"/>
      <c r="GH68" s="96"/>
      <c r="GI68" s="96"/>
      <c r="GJ68" s="96"/>
      <c r="GK68" s="96"/>
      <c r="GL68" s="96"/>
      <c r="GM68" s="96"/>
      <c r="GN68" s="96"/>
      <c r="GO68" s="314"/>
      <c r="GP68" s="272"/>
      <c r="GQ68" s="96"/>
      <c r="GR68" s="272"/>
      <c r="GS68" s="272"/>
      <c r="GT68" s="180"/>
      <c r="GU68" s="180"/>
      <c r="GV68" s="272"/>
      <c r="GW68" s="272"/>
      <c r="GX68" s="272"/>
      <c r="GY68" s="272"/>
      <c r="GZ68" s="272"/>
      <c r="HA68" s="272"/>
      <c r="HB68" s="272"/>
      <c r="HC68" s="272"/>
      <c r="HD68" s="298"/>
      <c r="HE68" s="298"/>
      <c r="HF68" s="298"/>
      <c r="HG68" s="298"/>
      <c r="HH68" s="298"/>
      <c r="HI68" s="298"/>
      <c r="HJ68" s="298"/>
      <c r="HK68" s="298"/>
      <c r="HL68" s="298"/>
      <c r="HM68" s="298"/>
      <c r="HN68" s="400"/>
      <c r="HO68" s="338"/>
      <c r="HP68" s="338"/>
      <c r="HQ68" s="338"/>
      <c r="HR68" s="338"/>
      <c r="HS68" s="367"/>
      <c r="HT68" s="367"/>
      <c r="HU68" s="338"/>
      <c r="HV68" s="384"/>
      <c r="HW68" s="384"/>
      <c r="HX68" s="384"/>
      <c r="HY68" s="384"/>
      <c r="HZ68" s="421"/>
      <c r="IA68" s="379"/>
      <c r="IB68" s="379"/>
      <c r="IC68" s="379"/>
      <c r="ID68" s="379"/>
      <c r="IE68" s="379"/>
      <c r="IF68" s="379"/>
      <c r="IG68" s="439"/>
      <c r="IH68" s="439"/>
      <c r="II68" s="439"/>
      <c r="IJ68" s="439"/>
      <c r="IK68" s="439"/>
      <c r="IL68" s="439"/>
      <c r="IM68" s="439"/>
      <c r="IN68" s="439"/>
      <c r="IO68" s="439"/>
      <c r="IP68" s="439"/>
      <c r="IQ68" s="439"/>
      <c r="IR68" s="439"/>
      <c r="IS68" s="439"/>
      <c r="IT68" s="439"/>
      <c r="IU68" s="439"/>
      <c r="IV68" s="439"/>
      <c r="IW68" s="439"/>
      <c r="IX68" s="439"/>
      <c r="IY68" s="439"/>
      <c r="IZ68" s="439"/>
      <c r="JA68" s="439"/>
      <c r="JB68" s="439"/>
      <c r="JC68" s="439"/>
      <c r="JD68" s="439"/>
      <c r="JE68" s="439"/>
      <c r="JF68" s="439"/>
      <c r="JG68" s="439"/>
      <c r="JH68" s="439"/>
      <c r="JI68" s="439"/>
      <c r="JJ68" s="439"/>
      <c r="JK68" s="439"/>
      <c r="JL68" s="439"/>
      <c r="JM68" s="7"/>
      <c r="JN68" s="7"/>
      <c r="JO68" s="7"/>
      <c r="JP68" s="7"/>
      <c r="JQ68" s="7"/>
      <c r="JR68" s="7"/>
      <c r="JS68" s="7"/>
      <c r="JT68" s="7"/>
      <c r="JU68" s="7"/>
    </row>
    <row r="69" spans="1:281" x14ac:dyDescent="0.25">
      <c r="A69" s="144" t="s">
        <v>70</v>
      </c>
      <c r="B69" s="79">
        <v>31654</v>
      </c>
      <c r="C69" s="79">
        <v>33689</v>
      </c>
      <c r="D69" s="79">
        <v>34713</v>
      </c>
      <c r="E69" s="79">
        <v>28873</v>
      </c>
      <c r="F69" s="79">
        <v>34657</v>
      </c>
      <c r="G69" s="79">
        <v>28908</v>
      </c>
      <c r="H69" s="79">
        <v>28193</v>
      </c>
      <c r="I69" s="79">
        <v>31284</v>
      </c>
      <c r="J69" s="79">
        <v>21716</v>
      </c>
      <c r="K69" s="79">
        <v>17590</v>
      </c>
      <c r="L69" s="79">
        <v>17435</v>
      </c>
      <c r="M69" s="79">
        <v>27973</v>
      </c>
      <c r="N69" s="93">
        <v>13559</v>
      </c>
      <c r="O69" s="92">
        <v>22228</v>
      </c>
      <c r="P69" s="93">
        <v>21875</v>
      </c>
      <c r="Q69" s="92">
        <v>24752</v>
      </c>
      <c r="R69" s="93">
        <v>26628</v>
      </c>
      <c r="S69" s="37">
        <v>2118</v>
      </c>
      <c r="T69" s="92">
        <v>3714</v>
      </c>
      <c r="U69" s="37">
        <v>3339</v>
      </c>
      <c r="V69" s="37">
        <v>2983</v>
      </c>
      <c r="W69" s="37">
        <v>2028</v>
      </c>
      <c r="X69" s="37">
        <v>1002</v>
      </c>
      <c r="Y69" s="95">
        <f>1106+207</f>
        <v>1313</v>
      </c>
      <c r="Z69" s="69">
        <v>731</v>
      </c>
      <c r="AA69" s="69">
        <v>2599</v>
      </c>
      <c r="AB69" s="69">
        <v>3148</v>
      </c>
      <c r="AC69" s="95">
        <f>1569+55</f>
        <v>1624</v>
      </c>
      <c r="AD69" s="104">
        <f>1974+55</f>
        <v>2029</v>
      </c>
      <c r="AE69" s="94">
        <f>SUM(S69:AD69)</f>
        <v>26628</v>
      </c>
      <c r="AF69" s="93">
        <v>18372</v>
      </c>
      <c r="AG69" s="93">
        <v>17324</v>
      </c>
      <c r="AH69" s="94">
        <v>25112</v>
      </c>
      <c r="AI69" s="94">
        <v>12673</v>
      </c>
      <c r="AJ69" s="94">
        <v>13683</v>
      </c>
      <c r="AK69" s="94">
        <v>8430</v>
      </c>
      <c r="AL69" s="94">
        <v>10990.675000000001</v>
      </c>
      <c r="AM69" s="94">
        <v>7534.0929999999998</v>
      </c>
      <c r="AN69" s="101">
        <v>452.13200000000001</v>
      </c>
      <c r="AO69" s="69">
        <v>756.03399999999999</v>
      </c>
      <c r="AP69" s="69">
        <v>339.52600000000001</v>
      </c>
      <c r="AQ69" s="37" t="s">
        <v>29</v>
      </c>
      <c r="AR69" s="101">
        <v>18.3</v>
      </c>
      <c r="AS69" s="166">
        <v>18.3</v>
      </c>
      <c r="AT69" s="69">
        <v>73</v>
      </c>
      <c r="AU69" s="69">
        <v>549</v>
      </c>
      <c r="AV69" s="69">
        <v>1754.36</v>
      </c>
      <c r="AW69" s="69">
        <v>629.58100000000002</v>
      </c>
      <c r="AX69" s="69">
        <v>1739.11</v>
      </c>
      <c r="AY69" s="93">
        <v>1204.75</v>
      </c>
      <c r="AZ69" s="69">
        <f t="shared" ref="AZ69:AZ74" si="163">SUM(AN69:AX69)</f>
        <v>6329.3429999999998</v>
      </c>
      <c r="BA69" s="69">
        <v>5274.67</v>
      </c>
      <c r="BB69" s="69">
        <v>8295.6290000000008</v>
      </c>
      <c r="BC69" s="69">
        <v>8204.8459999999995</v>
      </c>
      <c r="BD69" s="69">
        <v>13086.909</v>
      </c>
      <c r="BE69" s="69">
        <v>5626.0479999999989</v>
      </c>
      <c r="BF69" s="69">
        <v>6283.3050000000003</v>
      </c>
      <c r="BG69" s="69">
        <v>4038.4960000000001</v>
      </c>
      <c r="BH69" s="69">
        <v>2137.683</v>
      </c>
      <c r="BI69" s="69">
        <v>457.13099999999997</v>
      </c>
      <c r="BJ69" s="203">
        <v>0</v>
      </c>
      <c r="BK69" s="203">
        <v>0</v>
      </c>
      <c r="BL69" s="203">
        <v>0</v>
      </c>
      <c r="BM69" s="203">
        <v>0</v>
      </c>
      <c r="BN69" s="203">
        <v>195.5</v>
      </c>
      <c r="BO69" s="203">
        <v>0</v>
      </c>
      <c r="BP69" s="101">
        <v>0</v>
      </c>
      <c r="BQ69" s="95">
        <v>0</v>
      </c>
      <c r="BR69" s="69">
        <v>0</v>
      </c>
      <c r="BS69" s="104">
        <v>0</v>
      </c>
      <c r="BT69" s="101">
        <v>195.5</v>
      </c>
      <c r="BU69" s="166">
        <v>0</v>
      </c>
      <c r="BV69" s="69">
        <v>0</v>
      </c>
      <c r="BW69" s="69">
        <v>0</v>
      </c>
      <c r="BX69" s="69">
        <v>0</v>
      </c>
      <c r="BY69" s="69">
        <v>0</v>
      </c>
      <c r="BZ69" s="69">
        <v>0</v>
      </c>
      <c r="CA69" s="93">
        <v>195.5</v>
      </c>
      <c r="CB69" s="95">
        <f>SUM(BP69:BY69)</f>
        <v>195.5</v>
      </c>
      <c r="CC69" s="93">
        <v>202.75399999999999</v>
      </c>
      <c r="CD69" s="93">
        <v>202.75399999999999</v>
      </c>
      <c r="CE69" s="94">
        <v>248.88</v>
      </c>
      <c r="CF69" s="95">
        <v>275.04899999999998</v>
      </c>
      <c r="CG69" s="95">
        <v>260.65300000000002</v>
      </c>
      <c r="CH69" s="95">
        <v>32.207999999999998</v>
      </c>
      <c r="CI69" s="95">
        <v>1112.6400000000001</v>
      </c>
      <c r="CJ69" s="95">
        <v>1083.3599999999999</v>
      </c>
      <c r="CK69" s="95">
        <v>1468.0830000000001</v>
      </c>
      <c r="CL69" s="95">
        <v>1287.72</v>
      </c>
      <c r="CM69" s="95">
        <v>903.48</v>
      </c>
      <c r="CN69" s="95">
        <v>1218.048</v>
      </c>
      <c r="CO69" s="95">
        <f>SUM(CC69:CN69)</f>
        <v>8295.6290000000008</v>
      </c>
      <c r="CP69" s="95">
        <v>316.40699999999998</v>
      </c>
      <c r="CQ69" s="95">
        <v>170.7</v>
      </c>
      <c r="CR69" s="95">
        <v>113.277</v>
      </c>
      <c r="CS69" s="95">
        <v>130.62</v>
      </c>
      <c r="CT69" s="95">
        <v>97.6</v>
      </c>
      <c r="CU69" s="95">
        <v>79.421999999999997</v>
      </c>
      <c r="CV69" s="95">
        <v>844.24</v>
      </c>
      <c r="CW69" s="95">
        <v>919.27</v>
      </c>
      <c r="CX69" s="95">
        <v>2224.06</v>
      </c>
      <c r="CY69" s="95">
        <v>1596.37</v>
      </c>
      <c r="CZ69" s="95">
        <v>791.10900000000004</v>
      </c>
      <c r="DA69" s="95">
        <v>921.77099999999996</v>
      </c>
      <c r="DB69" s="95">
        <f>SUM(CP69:DA69)</f>
        <v>8204.8459999999995</v>
      </c>
      <c r="DC69" s="96">
        <v>198.92099999999999</v>
      </c>
      <c r="DD69" s="95">
        <v>28.6</v>
      </c>
      <c r="DE69" s="95">
        <v>50.02</v>
      </c>
      <c r="DF69" s="95">
        <v>22.143000000000001</v>
      </c>
      <c r="DG69" s="101" t="s">
        <v>29</v>
      </c>
      <c r="DH69" s="110">
        <v>480.19200000000001</v>
      </c>
      <c r="DI69" s="110">
        <v>2182.96</v>
      </c>
      <c r="DJ69" s="110">
        <v>1883.07</v>
      </c>
      <c r="DK69" s="110">
        <v>2530.37</v>
      </c>
      <c r="DL69" s="110">
        <v>2152.625</v>
      </c>
      <c r="DM69" s="110">
        <v>1665.5440000000001</v>
      </c>
      <c r="DN69" s="110">
        <v>1892.4639999999999</v>
      </c>
      <c r="DO69" s="96">
        <f>SUM(DC69:DL69)</f>
        <v>9528.9009999999998</v>
      </c>
      <c r="DP69" s="96">
        <v>1163.1770000000001</v>
      </c>
      <c r="DQ69" s="96">
        <v>443.72199999999998</v>
      </c>
      <c r="DR69" s="96">
        <v>85.522000000000006</v>
      </c>
      <c r="DS69" s="96">
        <v>105.95699999999999</v>
      </c>
      <c r="DT69" s="96">
        <v>1.85</v>
      </c>
      <c r="DU69" s="101" t="s">
        <v>29</v>
      </c>
      <c r="DV69" s="101" t="s">
        <v>29</v>
      </c>
      <c r="DW69" s="105">
        <v>310.12400000000002</v>
      </c>
      <c r="DX69" s="105">
        <v>796.66</v>
      </c>
      <c r="DY69" s="105">
        <v>1247.877</v>
      </c>
      <c r="DZ69" s="105">
        <f>869.189+0.514</f>
        <v>869.70299999999997</v>
      </c>
      <c r="EA69" s="105">
        <f>601.336+0.12</f>
        <v>601.45600000000002</v>
      </c>
      <c r="EB69" s="96">
        <f>SUM(DP69:EA69)</f>
        <v>5626.0479999999989</v>
      </c>
      <c r="EC69" s="96">
        <v>234.85</v>
      </c>
      <c r="ED69" s="96">
        <v>170.55600000000001</v>
      </c>
      <c r="EE69" s="96">
        <v>205.495</v>
      </c>
      <c r="EF69" s="96">
        <v>58.255000000000003</v>
      </c>
      <c r="EG69" s="96">
        <v>15.321999999999999</v>
      </c>
      <c r="EH69" s="96">
        <v>175.68</v>
      </c>
      <c r="EI69" s="96">
        <v>1063.23</v>
      </c>
      <c r="EJ69" s="96">
        <v>1074.21</v>
      </c>
      <c r="EK69" s="96">
        <v>1056.4879999999998</v>
      </c>
      <c r="EL69" s="96">
        <v>1068.433</v>
      </c>
      <c r="EM69" s="96">
        <v>733.28099999999995</v>
      </c>
      <c r="EN69" s="96">
        <v>427.505</v>
      </c>
      <c r="EO69" s="96">
        <f>SUM(EC69:EN69)</f>
        <v>6283.3050000000003</v>
      </c>
      <c r="EP69" s="96">
        <v>413.80200000000002</v>
      </c>
      <c r="EQ69" s="96">
        <v>163.06</v>
      </c>
      <c r="ER69" s="191">
        <v>0</v>
      </c>
      <c r="ES69" s="191">
        <v>0</v>
      </c>
      <c r="ET69" s="191">
        <v>0</v>
      </c>
      <c r="EU69" s="96">
        <v>58.56</v>
      </c>
      <c r="EV69" s="96">
        <v>253.76</v>
      </c>
      <c r="EW69" s="96">
        <v>624.64</v>
      </c>
      <c r="EX69" s="96">
        <v>698.68899999999996</v>
      </c>
      <c r="EY69" s="96">
        <v>344.40600000000001</v>
      </c>
      <c r="EZ69" s="96">
        <v>1067.877</v>
      </c>
      <c r="FA69" s="96">
        <v>413.702</v>
      </c>
      <c r="FB69" s="96">
        <f>SUM(EP69:FA69)</f>
        <v>4038.4960000000001</v>
      </c>
      <c r="FC69" s="96">
        <v>357.70400000000001</v>
      </c>
      <c r="FD69" s="96">
        <v>367.89100000000002</v>
      </c>
      <c r="FE69" s="96">
        <v>58.56</v>
      </c>
      <c r="FF69" s="96">
        <v>24.216999999999999</v>
      </c>
      <c r="FG69" s="96">
        <v>59.17</v>
      </c>
      <c r="FH69" s="96">
        <v>30.561</v>
      </c>
      <c r="FI69" s="96">
        <v>171.98500000000001</v>
      </c>
      <c r="FJ69" s="96">
        <v>214.72</v>
      </c>
      <c r="FK69" s="96">
        <v>292.8</v>
      </c>
      <c r="FL69" s="96">
        <v>80.194999999999993</v>
      </c>
      <c r="FM69" s="96">
        <v>409.92</v>
      </c>
      <c r="FN69" s="96">
        <v>69.959999999999994</v>
      </c>
      <c r="FO69" s="96">
        <f>SUM(FC69:FN69)</f>
        <v>2137.683</v>
      </c>
      <c r="FP69" s="96">
        <v>146.88800000000001</v>
      </c>
      <c r="FQ69" s="96">
        <v>47.030999999999999</v>
      </c>
      <c r="FR69" s="96">
        <v>193.98</v>
      </c>
      <c r="FS69" s="96">
        <v>67.831999999999994</v>
      </c>
      <c r="FT69" s="203">
        <v>0</v>
      </c>
      <c r="FU69" s="203">
        <v>0</v>
      </c>
      <c r="FV69" s="203">
        <v>0</v>
      </c>
      <c r="FW69" s="203">
        <v>0</v>
      </c>
      <c r="FX69" s="203">
        <v>0</v>
      </c>
      <c r="FY69" s="203">
        <v>0</v>
      </c>
      <c r="FZ69" s="203">
        <v>0</v>
      </c>
      <c r="GA69" s="203">
        <v>1.4</v>
      </c>
      <c r="GB69" s="96">
        <f>SUM(FP69:GA69)</f>
        <v>457.13099999999997</v>
      </c>
      <c r="GC69" s="203">
        <v>0</v>
      </c>
      <c r="GD69" s="203">
        <v>0</v>
      </c>
      <c r="GE69" s="203">
        <v>0</v>
      </c>
      <c r="GF69" s="203">
        <v>0</v>
      </c>
      <c r="GG69" s="203">
        <v>0</v>
      </c>
      <c r="GH69" s="203">
        <v>0</v>
      </c>
      <c r="GI69" s="203">
        <v>0</v>
      </c>
      <c r="GJ69" s="203">
        <v>0</v>
      </c>
      <c r="GK69" s="203">
        <v>0</v>
      </c>
      <c r="GL69" s="203">
        <v>0</v>
      </c>
      <c r="GM69" s="203">
        <v>0</v>
      </c>
      <c r="GN69" s="203">
        <v>0</v>
      </c>
      <c r="GO69" s="318">
        <v>0</v>
      </c>
      <c r="GP69" s="318">
        <v>0</v>
      </c>
      <c r="GQ69" s="318">
        <v>0</v>
      </c>
      <c r="GR69" s="318">
        <v>0</v>
      </c>
      <c r="GS69" s="318">
        <v>0</v>
      </c>
      <c r="GT69" s="318">
        <v>0</v>
      </c>
      <c r="GU69" s="318">
        <v>0</v>
      </c>
      <c r="GV69" s="318">
        <v>0</v>
      </c>
      <c r="GW69" s="318">
        <v>0</v>
      </c>
      <c r="GX69" s="318">
        <v>0</v>
      </c>
      <c r="GY69" s="318">
        <v>0</v>
      </c>
      <c r="GZ69" s="318">
        <v>0</v>
      </c>
      <c r="HA69" s="318">
        <v>0</v>
      </c>
      <c r="HB69" s="318">
        <v>0</v>
      </c>
      <c r="HC69" s="318">
        <v>0</v>
      </c>
      <c r="HD69" s="318">
        <v>0</v>
      </c>
      <c r="HE69" s="318">
        <v>0</v>
      </c>
      <c r="HF69" s="318">
        <v>0</v>
      </c>
      <c r="HG69" s="318">
        <v>0</v>
      </c>
      <c r="HH69" s="318">
        <v>0</v>
      </c>
      <c r="HI69" s="318">
        <v>0</v>
      </c>
      <c r="HJ69" s="318">
        <v>0</v>
      </c>
      <c r="HK69" s="318">
        <v>0</v>
      </c>
      <c r="HL69" s="318">
        <v>0</v>
      </c>
      <c r="HM69" s="318">
        <v>0</v>
      </c>
      <c r="HN69" s="318">
        <v>0</v>
      </c>
      <c r="HO69" s="318">
        <v>0</v>
      </c>
      <c r="HP69" s="318">
        <v>0</v>
      </c>
      <c r="HQ69" s="318">
        <v>0</v>
      </c>
      <c r="HR69" s="318">
        <v>0</v>
      </c>
      <c r="HS69" s="318">
        <v>0</v>
      </c>
      <c r="HT69" s="318">
        <v>0</v>
      </c>
      <c r="HU69" s="318">
        <v>0</v>
      </c>
      <c r="HV69" s="318">
        <v>0</v>
      </c>
      <c r="HW69" s="318">
        <v>0</v>
      </c>
      <c r="HX69" s="318">
        <v>0</v>
      </c>
      <c r="HY69" s="318">
        <v>0</v>
      </c>
      <c r="HZ69" s="318">
        <v>0</v>
      </c>
      <c r="IA69" s="191">
        <v>0</v>
      </c>
      <c r="IB69" s="191">
        <v>0</v>
      </c>
      <c r="IC69" s="191">
        <v>0</v>
      </c>
      <c r="ID69" s="191">
        <v>0</v>
      </c>
      <c r="IE69" s="191">
        <v>0</v>
      </c>
      <c r="IF69" s="191">
        <v>195.5</v>
      </c>
      <c r="IG69" s="410">
        <v>0</v>
      </c>
      <c r="IH69" s="410">
        <v>0</v>
      </c>
      <c r="II69" s="410">
        <v>0</v>
      </c>
      <c r="IJ69" s="410">
        <v>0</v>
      </c>
      <c r="IK69" s="410">
        <v>0</v>
      </c>
      <c r="IL69" s="410">
        <v>0</v>
      </c>
      <c r="IM69" s="410">
        <v>0</v>
      </c>
      <c r="IN69" s="410">
        <v>0</v>
      </c>
      <c r="IO69" s="410">
        <v>0</v>
      </c>
      <c r="IP69" s="410">
        <v>0</v>
      </c>
      <c r="IQ69" s="410">
        <v>0</v>
      </c>
      <c r="IR69" s="410">
        <v>0</v>
      </c>
      <c r="IS69" s="410">
        <v>0</v>
      </c>
      <c r="IT69" s="410">
        <v>0</v>
      </c>
      <c r="IU69" s="410">
        <v>0</v>
      </c>
      <c r="IV69" s="410">
        <v>0</v>
      </c>
      <c r="IW69" s="410">
        <v>0</v>
      </c>
      <c r="IX69" s="410">
        <v>0</v>
      </c>
      <c r="IY69" s="410">
        <v>0</v>
      </c>
      <c r="IZ69" s="410">
        <v>0</v>
      </c>
      <c r="JA69" s="410"/>
      <c r="JB69" s="410"/>
      <c r="JC69" s="410"/>
      <c r="JD69" s="410"/>
      <c r="JE69" s="410"/>
      <c r="JF69" s="410"/>
      <c r="JG69" s="410"/>
      <c r="JH69" s="410"/>
      <c r="JI69" s="410"/>
      <c r="JJ69" s="410"/>
      <c r="JK69" s="410">
        <f>+IM69+IN69</f>
        <v>0</v>
      </c>
      <c r="JL69" s="410">
        <v>0</v>
      </c>
      <c r="JM69" s="10"/>
      <c r="JN69" s="10"/>
      <c r="JO69" s="10"/>
      <c r="JP69" s="10"/>
      <c r="JQ69" s="10"/>
      <c r="JR69" s="10"/>
      <c r="JS69" s="10"/>
      <c r="JT69" s="7"/>
      <c r="JU69" s="7"/>
    </row>
    <row r="70" spans="1:281" x14ac:dyDescent="0.25">
      <c r="A70" s="48" t="s">
        <v>92</v>
      </c>
      <c r="B70" s="79">
        <v>175</v>
      </c>
      <c r="C70" s="79">
        <v>279</v>
      </c>
      <c r="D70" s="79">
        <v>1179</v>
      </c>
      <c r="E70" s="79">
        <v>187</v>
      </c>
      <c r="F70" s="79">
        <v>246</v>
      </c>
      <c r="G70" s="79">
        <v>272</v>
      </c>
      <c r="H70" s="79">
        <v>310</v>
      </c>
      <c r="I70" s="79">
        <v>248</v>
      </c>
      <c r="J70" s="79">
        <v>120</v>
      </c>
      <c r="K70" s="79">
        <v>20</v>
      </c>
      <c r="L70" s="106" t="s">
        <v>29</v>
      </c>
      <c r="M70" s="79">
        <v>18</v>
      </c>
      <c r="N70" s="98" t="s">
        <v>79</v>
      </c>
      <c r="O70" s="92">
        <v>74</v>
      </c>
      <c r="P70" s="93">
        <v>100</v>
      </c>
      <c r="Q70" s="92">
        <v>23</v>
      </c>
      <c r="R70" s="101" t="s">
        <v>79</v>
      </c>
      <c r="S70" s="113" t="s">
        <v>29</v>
      </c>
      <c r="T70" s="113" t="s">
        <v>29</v>
      </c>
      <c r="U70" s="103" t="s">
        <v>71</v>
      </c>
      <c r="V70" s="113" t="s">
        <v>29</v>
      </c>
      <c r="W70" s="98" t="s">
        <v>79</v>
      </c>
      <c r="X70" s="107" t="s">
        <v>29</v>
      </c>
      <c r="Y70" s="115" t="s">
        <v>29</v>
      </c>
      <c r="Z70" s="107" t="s">
        <v>29</v>
      </c>
      <c r="AA70" s="107" t="s">
        <v>29</v>
      </c>
      <c r="AB70" s="107" t="s">
        <v>29</v>
      </c>
      <c r="AC70" s="103" t="s">
        <v>80</v>
      </c>
      <c r="AD70" s="104" t="s">
        <v>29</v>
      </c>
      <c r="AE70" s="115" t="s">
        <v>29</v>
      </c>
      <c r="AF70" s="101" t="s">
        <v>79</v>
      </c>
      <c r="AG70" s="101" t="s">
        <v>79</v>
      </c>
      <c r="AH70" s="104" t="s">
        <v>29</v>
      </c>
      <c r="AI70" s="104" t="s">
        <v>29</v>
      </c>
      <c r="AJ70" s="104">
        <v>259</v>
      </c>
      <c r="AK70" s="104" t="s">
        <v>29</v>
      </c>
      <c r="AL70" s="104" t="s">
        <v>29</v>
      </c>
      <c r="AM70" s="69">
        <v>98.6</v>
      </c>
      <c r="AN70" s="104" t="s">
        <v>29</v>
      </c>
      <c r="AO70" s="104" t="s">
        <v>29</v>
      </c>
      <c r="AP70" s="104" t="s">
        <v>29</v>
      </c>
      <c r="AQ70" s="104" t="s">
        <v>29</v>
      </c>
      <c r="AR70" s="104" t="s">
        <v>29</v>
      </c>
      <c r="AS70" s="104" t="s">
        <v>29</v>
      </c>
      <c r="AT70" s="104" t="s">
        <v>29</v>
      </c>
      <c r="AU70" s="104" t="s">
        <v>29</v>
      </c>
      <c r="AV70" s="104" t="s">
        <v>29</v>
      </c>
      <c r="AW70" s="104">
        <v>98.6</v>
      </c>
      <c r="AX70" s="104" t="s">
        <v>29</v>
      </c>
      <c r="AY70" s="104" t="s">
        <v>29</v>
      </c>
      <c r="AZ70" s="69">
        <f t="shared" si="163"/>
        <v>98.6</v>
      </c>
      <c r="BA70" s="191">
        <v>0</v>
      </c>
      <c r="BB70" s="99">
        <v>1</v>
      </c>
      <c r="BC70" s="191">
        <v>0</v>
      </c>
      <c r="BD70" s="191">
        <v>0</v>
      </c>
      <c r="BE70" s="101">
        <v>23.562000000000001</v>
      </c>
      <c r="BF70" s="191">
        <v>0</v>
      </c>
      <c r="BG70" s="69">
        <v>183.25</v>
      </c>
      <c r="BH70" s="69">
        <v>106.15</v>
      </c>
      <c r="BI70" s="69">
        <v>48.35</v>
      </c>
      <c r="BJ70" s="203">
        <v>0</v>
      </c>
      <c r="BK70" s="203">
        <v>0</v>
      </c>
      <c r="BL70" s="203">
        <v>0</v>
      </c>
      <c r="BM70" s="203">
        <v>0</v>
      </c>
      <c r="BN70" s="203">
        <v>141.5</v>
      </c>
      <c r="BO70" s="203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141.5</v>
      </c>
      <c r="BV70" s="101">
        <v>0</v>
      </c>
      <c r="BW70" s="101">
        <v>0</v>
      </c>
      <c r="BX70" s="101">
        <v>0</v>
      </c>
      <c r="BY70" s="101">
        <v>0</v>
      </c>
      <c r="BZ70" s="101">
        <v>0</v>
      </c>
      <c r="CA70" s="101">
        <v>141.5</v>
      </c>
      <c r="CB70" s="101" t="s">
        <v>29</v>
      </c>
      <c r="CC70" s="101" t="s">
        <v>29</v>
      </c>
      <c r="CD70" s="101" t="s">
        <v>29</v>
      </c>
      <c r="CE70" s="101" t="s">
        <v>29</v>
      </c>
      <c r="CF70" s="101" t="s">
        <v>29</v>
      </c>
      <c r="CG70" s="101" t="s">
        <v>29</v>
      </c>
      <c r="CH70" s="101" t="s">
        <v>29</v>
      </c>
      <c r="CI70" s="101" t="s">
        <v>29</v>
      </c>
      <c r="CJ70" s="101" t="s">
        <v>29</v>
      </c>
      <c r="CK70" s="101" t="s">
        <v>29</v>
      </c>
      <c r="CL70" s="101" t="s">
        <v>29</v>
      </c>
      <c r="CM70" s="101" t="s">
        <v>29</v>
      </c>
      <c r="CN70" s="101" t="s">
        <v>29</v>
      </c>
      <c r="CO70" s="101" t="s">
        <v>29</v>
      </c>
      <c r="CP70" s="101" t="s">
        <v>29</v>
      </c>
      <c r="CQ70" s="101" t="s">
        <v>29</v>
      </c>
      <c r="CR70" s="101" t="s">
        <v>29</v>
      </c>
      <c r="CS70" s="101" t="s">
        <v>29</v>
      </c>
      <c r="CT70" s="101" t="s">
        <v>29</v>
      </c>
      <c r="CU70" s="101" t="s">
        <v>29</v>
      </c>
      <c r="CV70" s="101" t="s">
        <v>29</v>
      </c>
      <c r="CW70" s="101" t="s">
        <v>29</v>
      </c>
      <c r="CX70" s="101" t="s">
        <v>29</v>
      </c>
      <c r="CY70" s="101" t="s">
        <v>29</v>
      </c>
      <c r="CZ70" s="101" t="s">
        <v>29</v>
      </c>
      <c r="DA70" s="101" t="s">
        <v>29</v>
      </c>
      <c r="DB70" s="95"/>
      <c r="DC70" s="101" t="s">
        <v>29</v>
      </c>
      <c r="DD70" s="101" t="s">
        <v>29</v>
      </c>
      <c r="DE70" s="101" t="s">
        <v>29</v>
      </c>
      <c r="DF70" s="101" t="s">
        <v>29</v>
      </c>
      <c r="DG70" s="101" t="s">
        <v>29</v>
      </c>
      <c r="DH70" s="101" t="s">
        <v>29</v>
      </c>
      <c r="DI70" s="101" t="s">
        <v>29</v>
      </c>
      <c r="DJ70" s="101" t="s">
        <v>29</v>
      </c>
      <c r="DK70" s="101" t="s">
        <v>29</v>
      </c>
      <c r="DL70" s="101" t="s">
        <v>29</v>
      </c>
      <c r="DM70" s="101" t="s">
        <v>29</v>
      </c>
      <c r="DN70" s="101" t="s">
        <v>29</v>
      </c>
      <c r="DO70" s="101" t="s">
        <v>29</v>
      </c>
      <c r="DP70" s="101" t="s">
        <v>29</v>
      </c>
      <c r="DQ70" s="191">
        <v>0</v>
      </c>
      <c r="DR70" s="191">
        <v>0</v>
      </c>
      <c r="DS70" s="191">
        <v>0</v>
      </c>
      <c r="DT70" s="101" t="s">
        <v>29</v>
      </c>
      <c r="DU70" s="101" t="s">
        <v>29</v>
      </c>
      <c r="DV70" s="101" t="s">
        <v>29</v>
      </c>
      <c r="DW70" s="101" t="s">
        <v>29</v>
      </c>
      <c r="DX70" s="191">
        <v>0</v>
      </c>
      <c r="DY70" s="182">
        <v>0</v>
      </c>
      <c r="DZ70" s="191">
        <v>0</v>
      </c>
      <c r="EA70" s="182">
        <v>23.562000000000001</v>
      </c>
      <c r="EB70" s="96">
        <f>SUM(DP70:EA70)</f>
        <v>23.562000000000001</v>
      </c>
      <c r="EC70" s="191">
        <v>0</v>
      </c>
      <c r="ED70" s="191">
        <v>0</v>
      </c>
      <c r="EE70" s="191">
        <v>0</v>
      </c>
      <c r="EF70" s="191">
        <v>0</v>
      </c>
      <c r="EG70" s="191">
        <v>0</v>
      </c>
      <c r="EH70" s="191">
        <v>0</v>
      </c>
      <c r="EI70" s="191">
        <v>0</v>
      </c>
      <c r="EJ70" s="191">
        <v>0</v>
      </c>
      <c r="EK70" s="191">
        <v>0</v>
      </c>
      <c r="EL70" s="191">
        <v>0</v>
      </c>
      <c r="EM70" s="191">
        <v>0</v>
      </c>
      <c r="EN70" s="191">
        <v>0</v>
      </c>
      <c r="EO70" s="191">
        <v>0</v>
      </c>
      <c r="EP70" s="191">
        <v>0</v>
      </c>
      <c r="EQ70" s="191">
        <v>0</v>
      </c>
      <c r="ER70" s="96">
        <v>25</v>
      </c>
      <c r="ES70" s="96">
        <v>61.8</v>
      </c>
      <c r="ET70" s="191">
        <v>0</v>
      </c>
      <c r="EU70" s="96">
        <v>48.3</v>
      </c>
      <c r="EV70" s="96">
        <v>23.6</v>
      </c>
      <c r="EW70" s="96">
        <v>24.55</v>
      </c>
      <c r="EX70" s="191">
        <v>0</v>
      </c>
      <c r="EY70" s="191">
        <v>0</v>
      </c>
      <c r="EZ70" s="203">
        <v>0</v>
      </c>
      <c r="FA70" s="203">
        <v>0</v>
      </c>
      <c r="FB70" s="96">
        <f>SUM(EP70:FA70)</f>
        <v>183.25</v>
      </c>
      <c r="FC70" s="203">
        <v>0</v>
      </c>
      <c r="FD70" s="96">
        <v>35.9</v>
      </c>
      <c r="FE70" s="96">
        <v>42.1</v>
      </c>
      <c r="FF70" s="96">
        <v>8.15</v>
      </c>
      <c r="FG70" s="96">
        <v>20</v>
      </c>
      <c r="FH70" s="203">
        <v>0</v>
      </c>
      <c r="FI70" s="203">
        <v>0</v>
      </c>
      <c r="FJ70" s="203">
        <v>0</v>
      </c>
      <c r="FK70" s="203">
        <v>0</v>
      </c>
      <c r="FL70" s="203">
        <v>0</v>
      </c>
      <c r="FM70" s="203">
        <v>0</v>
      </c>
      <c r="FN70" s="203">
        <v>0</v>
      </c>
      <c r="FO70" s="96">
        <f>SUM(FC70:FN70)</f>
        <v>106.15</v>
      </c>
      <c r="FP70" s="203">
        <v>0</v>
      </c>
      <c r="FQ70" s="203">
        <v>0</v>
      </c>
      <c r="FR70" s="203">
        <v>0</v>
      </c>
      <c r="FS70" s="203">
        <v>0</v>
      </c>
      <c r="FT70" s="203">
        <v>0</v>
      </c>
      <c r="FU70" s="203">
        <v>0</v>
      </c>
      <c r="FV70" s="203">
        <v>0</v>
      </c>
      <c r="FW70" s="203">
        <v>48.35</v>
      </c>
      <c r="FX70" s="203">
        <v>0</v>
      </c>
      <c r="FY70" s="203">
        <v>0</v>
      </c>
      <c r="FZ70" s="203">
        <v>0</v>
      </c>
      <c r="GA70" s="203">
        <v>0</v>
      </c>
      <c r="GB70" s="96">
        <f>SUM(FP70:GA70)</f>
        <v>48.35</v>
      </c>
      <c r="GC70" s="203">
        <v>0</v>
      </c>
      <c r="GD70" s="203">
        <v>0</v>
      </c>
      <c r="GE70" s="203">
        <v>0</v>
      </c>
      <c r="GF70" s="203">
        <v>0</v>
      </c>
      <c r="GG70" s="203">
        <v>0</v>
      </c>
      <c r="GH70" s="203">
        <v>0</v>
      </c>
      <c r="GI70" s="203">
        <v>0</v>
      </c>
      <c r="GJ70" s="203">
        <v>0</v>
      </c>
      <c r="GK70" s="203">
        <v>0</v>
      </c>
      <c r="GL70" s="203">
        <v>0</v>
      </c>
      <c r="GM70" s="203">
        <v>0</v>
      </c>
      <c r="GN70" s="203">
        <v>0</v>
      </c>
      <c r="GO70" s="318">
        <f>SUM(GC70:GL70)</f>
        <v>0</v>
      </c>
      <c r="GP70" s="318">
        <v>0</v>
      </c>
      <c r="GQ70" s="318">
        <v>0</v>
      </c>
      <c r="GR70" s="318">
        <v>0</v>
      </c>
      <c r="GS70" s="318">
        <v>0</v>
      </c>
      <c r="GT70" s="318">
        <v>0</v>
      </c>
      <c r="GU70" s="318">
        <v>0</v>
      </c>
      <c r="GV70" s="318">
        <v>0</v>
      </c>
      <c r="GW70" s="318">
        <v>0</v>
      </c>
      <c r="GX70" s="318">
        <v>0</v>
      </c>
      <c r="GY70" s="318">
        <v>0</v>
      </c>
      <c r="GZ70" s="318">
        <v>0</v>
      </c>
      <c r="HA70" s="318">
        <v>0</v>
      </c>
      <c r="HB70" s="318">
        <v>0</v>
      </c>
      <c r="HC70" s="318">
        <v>0</v>
      </c>
      <c r="HD70" s="318">
        <v>0</v>
      </c>
      <c r="HE70" s="318">
        <v>0</v>
      </c>
      <c r="HF70" s="318">
        <v>0</v>
      </c>
      <c r="HG70" s="318">
        <v>0</v>
      </c>
      <c r="HH70" s="318">
        <v>0</v>
      </c>
      <c r="HI70" s="318">
        <v>0</v>
      </c>
      <c r="HJ70" s="318">
        <v>0</v>
      </c>
      <c r="HK70" s="318">
        <v>0</v>
      </c>
      <c r="HL70" s="318">
        <v>0</v>
      </c>
      <c r="HM70" s="318">
        <v>0</v>
      </c>
      <c r="HN70" s="318">
        <v>0</v>
      </c>
      <c r="HO70" s="318">
        <v>0</v>
      </c>
      <c r="HP70" s="318">
        <v>0</v>
      </c>
      <c r="HQ70" s="318">
        <v>0</v>
      </c>
      <c r="HR70" s="318">
        <v>0</v>
      </c>
      <c r="HS70" s="318">
        <v>0</v>
      </c>
      <c r="HT70" s="318">
        <v>0</v>
      </c>
      <c r="HU70" s="318">
        <v>0</v>
      </c>
      <c r="HV70" s="318">
        <v>0</v>
      </c>
      <c r="HW70" s="318">
        <v>0</v>
      </c>
      <c r="HX70" s="318">
        <v>0</v>
      </c>
      <c r="HY70" s="318">
        <v>0</v>
      </c>
      <c r="HZ70" s="318">
        <v>0</v>
      </c>
      <c r="IA70" s="191">
        <v>0</v>
      </c>
      <c r="IB70" s="191">
        <v>0</v>
      </c>
      <c r="IC70" s="191">
        <v>0</v>
      </c>
      <c r="ID70" s="191">
        <v>0</v>
      </c>
      <c r="IE70" s="191">
        <v>0</v>
      </c>
      <c r="IF70" s="191">
        <v>0</v>
      </c>
      <c r="IG70" s="410">
        <v>141.5</v>
      </c>
      <c r="IH70" s="410">
        <v>0</v>
      </c>
      <c r="II70" s="410">
        <v>0</v>
      </c>
      <c r="IJ70" s="410">
        <v>0</v>
      </c>
      <c r="IK70" s="410">
        <v>0</v>
      </c>
      <c r="IL70" s="410">
        <v>0</v>
      </c>
      <c r="IM70" s="410">
        <v>0</v>
      </c>
      <c r="IN70" s="410">
        <v>0</v>
      </c>
      <c r="IO70" s="410">
        <v>0</v>
      </c>
      <c r="IP70" s="410">
        <v>0</v>
      </c>
      <c r="IQ70" s="410">
        <v>0</v>
      </c>
      <c r="IR70" s="410">
        <v>0</v>
      </c>
      <c r="IS70" s="410">
        <v>0</v>
      </c>
      <c r="IT70" s="410">
        <v>0</v>
      </c>
      <c r="IU70" s="410">
        <v>0</v>
      </c>
      <c r="IV70" s="410">
        <v>0</v>
      </c>
      <c r="IW70" s="410">
        <v>0</v>
      </c>
      <c r="IX70" s="410">
        <v>0</v>
      </c>
      <c r="IY70" s="410">
        <v>0</v>
      </c>
      <c r="IZ70" s="410">
        <v>0</v>
      </c>
      <c r="JA70" s="410"/>
      <c r="JB70" s="410"/>
      <c r="JC70" s="410"/>
      <c r="JD70" s="410"/>
      <c r="JE70" s="410"/>
      <c r="JF70" s="410"/>
      <c r="JG70" s="410"/>
      <c r="JH70" s="410"/>
      <c r="JI70" s="410"/>
      <c r="JJ70" s="410"/>
      <c r="JK70" s="410">
        <f t="shared" ref="JK70:JK74" si="164">+IM70+IN70</f>
        <v>0</v>
      </c>
      <c r="JL70" s="410">
        <v>0</v>
      </c>
      <c r="JM70" s="349"/>
      <c r="JN70" s="11"/>
      <c r="JO70" s="11"/>
      <c r="JP70" s="11"/>
      <c r="JQ70" s="11"/>
      <c r="JR70" s="11"/>
      <c r="JS70" s="10"/>
      <c r="JT70" s="9"/>
      <c r="JU70" s="11"/>
    </row>
    <row r="71" spans="1:281" x14ac:dyDescent="0.25">
      <c r="A71" s="144" t="s">
        <v>72</v>
      </c>
      <c r="B71" s="79">
        <v>395</v>
      </c>
      <c r="C71" s="79">
        <v>388</v>
      </c>
      <c r="D71" s="79">
        <v>643</v>
      </c>
      <c r="E71" s="79">
        <v>741</v>
      </c>
      <c r="F71" s="79">
        <v>687</v>
      </c>
      <c r="G71" s="79">
        <v>1052</v>
      </c>
      <c r="H71" s="79">
        <v>1182</v>
      </c>
      <c r="I71" s="79">
        <v>272</v>
      </c>
      <c r="J71" s="79">
        <v>10</v>
      </c>
      <c r="K71" s="106" t="s">
        <v>29</v>
      </c>
      <c r="L71" s="79">
        <v>108</v>
      </c>
      <c r="M71" s="79">
        <v>90</v>
      </c>
      <c r="N71" s="98" t="s">
        <v>79</v>
      </c>
      <c r="O71" s="101" t="s">
        <v>79</v>
      </c>
      <c r="P71" s="101" t="s">
        <v>79</v>
      </c>
      <c r="Q71" s="101" t="s">
        <v>79</v>
      </c>
      <c r="R71" s="101" t="s">
        <v>79</v>
      </c>
      <c r="S71" s="113" t="s">
        <v>29</v>
      </c>
      <c r="T71" s="113" t="s">
        <v>29</v>
      </c>
      <c r="U71" s="103" t="s">
        <v>71</v>
      </c>
      <c r="V71" s="113" t="s">
        <v>29</v>
      </c>
      <c r="W71" s="98" t="s">
        <v>79</v>
      </c>
      <c r="X71" s="107" t="s">
        <v>29</v>
      </c>
      <c r="Y71" s="115" t="s">
        <v>29</v>
      </c>
      <c r="Z71" s="107" t="s">
        <v>29</v>
      </c>
      <c r="AA71" s="107" t="s">
        <v>29</v>
      </c>
      <c r="AB71" s="107" t="s">
        <v>29</v>
      </c>
      <c r="AC71" s="103" t="s">
        <v>80</v>
      </c>
      <c r="AD71" s="104" t="s">
        <v>29</v>
      </c>
      <c r="AE71" s="115" t="s">
        <v>29</v>
      </c>
      <c r="AF71" s="104">
        <v>20</v>
      </c>
      <c r="AG71" s="101" t="s">
        <v>79</v>
      </c>
      <c r="AH71" s="105">
        <v>20</v>
      </c>
      <c r="AI71" s="105">
        <v>132</v>
      </c>
      <c r="AJ71" s="105" t="s">
        <v>29</v>
      </c>
      <c r="AK71" s="104" t="s">
        <v>29</v>
      </c>
      <c r="AL71" s="104" t="s">
        <v>29</v>
      </c>
      <c r="AM71" s="104" t="s">
        <v>29</v>
      </c>
      <c r="AN71" s="104" t="s">
        <v>29</v>
      </c>
      <c r="AO71" s="104" t="s">
        <v>29</v>
      </c>
      <c r="AP71" s="104" t="s">
        <v>29</v>
      </c>
      <c r="AQ71" s="104" t="s">
        <v>29</v>
      </c>
      <c r="AR71" s="104" t="s">
        <v>29</v>
      </c>
      <c r="AS71" s="104" t="s">
        <v>29</v>
      </c>
      <c r="AT71" s="104" t="s">
        <v>29</v>
      </c>
      <c r="AU71" s="104" t="s">
        <v>29</v>
      </c>
      <c r="AV71" s="104" t="s">
        <v>29</v>
      </c>
      <c r="AW71" s="104" t="s">
        <v>29</v>
      </c>
      <c r="AX71" s="104" t="s">
        <v>29</v>
      </c>
      <c r="AY71" s="104" t="s">
        <v>29</v>
      </c>
      <c r="AZ71" s="104" t="s">
        <v>29</v>
      </c>
      <c r="BA71" s="104" t="s">
        <v>29</v>
      </c>
      <c r="BB71" s="99"/>
      <c r="BC71" s="101" t="s">
        <v>29</v>
      </c>
      <c r="BD71" s="101"/>
      <c r="BE71" s="101"/>
      <c r="BF71" s="101"/>
      <c r="BG71" s="191">
        <v>0</v>
      </c>
      <c r="BH71" s="101"/>
      <c r="BI71" s="101"/>
      <c r="BJ71" s="101"/>
      <c r="BK71" s="101"/>
      <c r="BL71" s="203">
        <v>0</v>
      </c>
      <c r="BM71" s="203">
        <v>0</v>
      </c>
      <c r="BN71" s="203">
        <v>0</v>
      </c>
      <c r="BO71" s="203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0</v>
      </c>
      <c r="BX71" s="101">
        <v>0</v>
      </c>
      <c r="BY71" s="101">
        <v>0</v>
      </c>
      <c r="BZ71" s="101">
        <v>0</v>
      </c>
      <c r="CA71" s="101">
        <v>0</v>
      </c>
      <c r="CB71" s="101" t="s">
        <v>29</v>
      </c>
      <c r="CC71" s="101" t="s">
        <v>29</v>
      </c>
      <c r="CD71" s="101" t="s">
        <v>29</v>
      </c>
      <c r="CE71" s="101" t="s">
        <v>29</v>
      </c>
      <c r="CF71" s="101" t="s">
        <v>29</v>
      </c>
      <c r="CG71" s="101" t="s">
        <v>29</v>
      </c>
      <c r="CH71" s="101" t="s">
        <v>29</v>
      </c>
      <c r="CI71" s="101" t="s">
        <v>29</v>
      </c>
      <c r="CJ71" s="101" t="s">
        <v>29</v>
      </c>
      <c r="CK71" s="101" t="s">
        <v>29</v>
      </c>
      <c r="CL71" s="101" t="s">
        <v>29</v>
      </c>
      <c r="CM71" s="101" t="s">
        <v>29</v>
      </c>
      <c r="CN71" s="101" t="s">
        <v>29</v>
      </c>
      <c r="CO71" s="101" t="s">
        <v>29</v>
      </c>
      <c r="CP71" s="101" t="s">
        <v>29</v>
      </c>
      <c r="CQ71" s="101" t="s">
        <v>29</v>
      </c>
      <c r="CR71" s="101" t="s">
        <v>29</v>
      </c>
      <c r="CS71" s="101" t="s">
        <v>29</v>
      </c>
      <c r="CT71" s="101" t="s">
        <v>29</v>
      </c>
      <c r="CU71" s="117"/>
      <c r="CV71" s="101"/>
      <c r="CW71" s="101"/>
      <c r="CX71" s="101"/>
      <c r="CY71" s="101"/>
      <c r="CZ71" s="101"/>
      <c r="DA71" s="101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96">
        <f>SUM(EO71:ER71)</f>
        <v>0</v>
      </c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180"/>
      <c r="GD71" s="180"/>
      <c r="GE71" s="180"/>
      <c r="GF71" s="96"/>
      <c r="GG71" s="96"/>
      <c r="GH71" s="96"/>
      <c r="GI71" s="96"/>
      <c r="GJ71" s="96"/>
      <c r="GK71" s="96"/>
      <c r="GL71" s="96"/>
      <c r="GM71" s="96"/>
      <c r="GN71" s="96"/>
      <c r="GO71" s="272"/>
      <c r="GP71" s="318">
        <v>0</v>
      </c>
      <c r="GQ71" s="318">
        <v>0</v>
      </c>
      <c r="GR71" s="318">
        <v>0</v>
      </c>
      <c r="GS71" s="318">
        <v>0</v>
      </c>
      <c r="GT71" s="318">
        <v>0</v>
      </c>
      <c r="GU71" s="318">
        <v>0</v>
      </c>
      <c r="GV71" s="318">
        <v>0</v>
      </c>
      <c r="GW71" s="318">
        <v>0</v>
      </c>
      <c r="GX71" s="318">
        <v>0</v>
      </c>
      <c r="GY71" s="318">
        <v>0</v>
      </c>
      <c r="GZ71" s="318">
        <v>0</v>
      </c>
      <c r="HA71" s="318">
        <v>0</v>
      </c>
      <c r="HB71" s="318">
        <v>0</v>
      </c>
      <c r="HC71" s="318">
        <v>0</v>
      </c>
      <c r="HD71" s="318">
        <v>0</v>
      </c>
      <c r="HE71" s="318">
        <v>0</v>
      </c>
      <c r="HF71" s="318">
        <v>0</v>
      </c>
      <c r="HG71" s="318">
        <v>0</v>
      </c>
      <c r="HH71" s="318">
        <v>0</v>
      </c>
      <c r="HI71" s="318">
        <v>0</v>
      </c>
      <c r="HJ71" s="318">
        <v>0</v>
      </c>
      <c r="HK71" s="318">
        <v>0</v>
      </c>
      <c r="HL71" s="318">
        <v>0</v>
      </c>
      <c r="HM71" s="318">
        <v>0</v>
      </c>
      <c r="HN71" s="318">
        <v>0</v>
      </c>
      <c r="HO71" s="318">
        <v>0</v>
      </c>
      <c r="HP71" s="318">
        <v>0</v>
      </c>
      <c r="HQ71" s="318">
        <v>0</v>
      </c>
      <c r="HR71" s="318">
        <v>0</v>
      </c>
      <c r="HS71" s="318">
        <v>0</v>
      </c>
      <c r="HT71" s="318">
        <v>0</v>
      </c>
      <c r="HU71" s="318">
        <v>0</v>
      </c>
      <c r="HV71" s="318">
        <v>0</v>
      </c>
      <c r="HW71" s="318">
        <v>0</v>
      </c>
      <c r="HX71" s="318">
        <v>0</v>
      </c>
      <c r="HY71" s="318">
        <v>0</v>
      </c>
      <c r="HZ71" s="318">
        <v>0</v>
      </c>
      <c r="IA71" s="191">
        <v>0</v>
      </c>
      <c r="IB71" s="191">
        <v>0</v>
      </c>
      <c r="IC71" s="191">
        <v>0</v>
      </c>
      <c r="ID71" s="191">
        <v>0</v>
      </c>
      <c r="IE71" s="191">
        <v>0</v>
      </c>
      <c r="IF71" s="191">
        <v>0</v>
      </c>
      <c r="IG71" s="410">
        <v>0</v>
      </c>
      <c r="IH71" s="410">
        <v>0</v>
      </c>
      <c r="II71" s="410">
        <v>0</v>
      </c>
      <c r="IJ71" s="410">
        <v>0</v>
      </c>
      <c r="IK71" s="410">
        <v>0</v>
      </c>
      <c r="IL71" s="410">
        <v>0</v>
      </c>
      <c r="IM71" s="410">
        <v>0</v>
      </c>
      <c r="IN71" s="410">
        <v>0</v>
      </c>
      <c r="IO71" s="410">
        <v>0</v>
      </c>
      <c r="IP71" s="410">
        <v>0</v>
      </c>
      <c r="IQ71" s="410">
        <v>0</v>
      </c>
      <c r="IR71" s="410">
        <v>0</v>
      </c>
      <c r="IS71" s="410">
        <v>0</v>
      </c>
      <c r="IT71" s="410">
        <v>0</v>
      </c>
      <c r="IU71" s="410">
        <v>0</v>
      </c>
      <c r="IV71" s="410">
        <v>0</v>
      </c>
      <c r="IW71" s="410">
        <v>0</v>
      </c>
      <c r="IX71" s="410">
        <v>0</v>
      </c>
      <c r="IY71" s="410">
        <v>0</v>
      </c>
      <c r="IZ71" s="410">
        <v>0</v>
      </c>
      <c r="JA71" s="410"/>
      <c r="JB71" s="410"/>
      <c r="JC71" s="410"/>
      <c r="JD71" s="410"/>
      <c r="JE71" s="410"/>
      <c r="JF71" s="410"/>
      <c r="JG71" s="410"/>
      <c r="JH71" s="410"/>
      <c r="JI71" s="410"/>
      <c r="JJ71" s="410"/>
      <c r="JK71" s="410">
        <f t="shared" si="164"/>
        <v>0</v>
      </c>
      <c r="JL71" s="410">
        <v>0</v>
      </c>
      <c r="JM71" s="11"/>
      <c r="JN71" s="11"/>
      <c r="JO71" s="11"/>
      <c r="JP71" s="11"/>
      <c r="JQ71" s="11"/>
      <c r="JR71" s="11"/>
      <c r="JS71" s="11"/>
      <c r="JT71" s="9"/>
      <c r="JU71" s="11"/>
    </row>
    <row r="72" spans="1:281" x14ac:dyDescent="0.25">
      <c r="A72" s="144" t="s">
        <v>73</v>
      </c>
      <c r="B72" s="106" t="s">
        <v>29</v>
      </c>
      <c r="C72" s="79">
        <v>11</v>
      </c>
      <c r="D72" s="79">
        <v>51</v>
      </c>
      <c r="E72" s="79">
        <v>7</v>
      </c>
      <c r="F72" s="79">
        <v>17</v>
      </c>
      <c r="G72" s="106" t="s">
        <v>29</v>
      </c>
      <c r="H72" s="106" t="s">
        <v>29</v>
      </c>
      <c r="I72" s="106" t="s">
        <v>29</v>
      </c>
      <c r="J72" s="79">
        <v>82</v>
      </c>
      <c r="K72" s="79">
        <v>38</v>
      </c>
      <c r="L72" s="79">
        <v>32</v>
      </c>
      <c r="M72" s="79">
        <v>171</v>
      </c>
      <c r="N72" s="98" t="s">
        <v>79</v>
      </c>
      <c r="O72" s="101" t="s">
        <v>79</v>
      </c>
      <c r="P72" s="93">
        <v>23</v>
      </c>
      <c r="Q72" s="93">
        <v>90</v>
      </c>
      <c r="R72" s="93">
        <v>39</v>
      </c>
      <c r="S72" s="113" t="s">
        <v>29</v>
      </c>
      <c r="T72" s="113" t="s">
        <v>29</v>
      </c>
      <c r="U72" s="103" t="s">
        <v>71</v>
      </c>
      <c r="V72" s="113" t="s">
        <v>29</v>
      </c>
      <c r="W72" s="113">
        <v>26</v>
      </c>
      <c r="X72" s="107" t="s">
        <v>29</v>
      </c>
      <c r="Y72" s="115" t="s">
        <v>29</v>
      </c>
      <c r="Z72" s="107" t="s">
        <v>29</v>
      </c>
      <c r="AA72" s="107" t="s">
        <v>29</v>
      </c>
      <c r="AB72" s="107" t="s">
        <v>29</v>
      </c>
      <c r="AC72" s="111">
        <v>13</v>
      </c>
      <c r="AD72" s="104" t="s">
        <v>29</v>
      </c>
      <c r="AE72" s="94">
        <f>SUM(S72:AD72)</f>
        <v>39</v>
      </c>
      <c r="AF72" s="101">
        <v>44</v>
      </c>
      <c r="AG72" s="101">
        <v>67</v>
      </c>
      <c r="AH72" s="105">
        <v>24</v>
      </c>
      <c r="AI72" s="104" t="s">
        <v>29</v>
      </c>
      <c r="AJ72" s="104">
        <v>149</v>
      </c>
      <c r="AK72" s="104">
        <v>44</v>
      </c>
      <c r="AL72" s="104">
        <v>69.05</v>
      </c>
      <c r="AM72" s="104">
        <v>114.65</v>
      </c>
      <c r="AN72" s="104">
        <v>114.65</v>
      </c>
      <c r="AO72" s="104" t="s">
        <v>29</v>
      </c>
      <c r="AP72" s="104" t="s">
        <v>29</v>
      </c>
      <c r="AQ72" s="104" t="s">
        <v>29</v>
      </c>
      <c r="AR72" s="104" t="s">
        <v>29</v>
      </c>
      <c r="AS72" s="104" t="s">
        <v>29</v>
      </c>
      <c r="AT72" s="166" t="s">
        <v>29</v>
      </c>
      <c r="AU72" s="104" t="s">
        <v>29</v>
      </c>
      <c r="AV72" s="104" t="s">
        <v>29</v>
      </c>
      <c r="AW72" s="104" t="s">
        <v>29</v>
      </c>
      <c r="AX72" s="104" t="s">
        <v>29</v>
      </c>
      <c r="AY72" s="104" t="s">
        <v>29</v>
      </c>
      <c r="AZ72" s="69">
        <f t="shared" si="163"/>
        <v>114.65</v>
      </c>
      <c r="BA72" s="69">
        <v>32</v>
      </c>
      <c r="BB72" s="191">
        <v>0</v>
      </c>
      <c r="BC72" s="191">
        <v>0</v>
      </c>
      <c r="BD72" s="191">
        <v>0</v>
      </c>
      <c r="BE72" s="191">
        <v>0</v>
      </c>
      <c r="BF72" s="191">
        <v>0</v>
      </c>
      <c r="BG72" s="191">
        <v>0</v>
      </c>
      <c r="BH72" s="191">
        <v>0</v>
      </c>
      <c r="BI72" s="191">
        <v>0</v>
      </c>
      <c r="BJ72" s="191">
        <v>0</v>
      </c>
      <c r="BK72" s="191">
        <v>0</v>
      </c>
      <c r="BL72" s="203">
        <v>0</v>
      </c>
      <c r="BM72" s="203">
        <v>0</v>
      </c>
      <c r="BN72" s="203">
        <v>0</v>
      </c>
      <c r="BO72" s="203">
        <v>0</v>
      </c>
      <c r="BP72" s="203">
        <v>0</v>
      </c>
      <c r="BQ72" s="203">
        <v>0</v>
      </c>
      <c r="BR72" s="203">
        <v>0</v>
      </c>
      <c r="BS72" s="203">
        <v>0</v>
      </c>
      <c r="BT72" s="203">
        <v>0</v>
      </c>
      <c r="BU72" s="203">
        <v>0</v>
      </c>
      <c r="BV72" s="203">
        <v>0</v>
      </c>
      <c r="BW72" s="203">
        <v>0</v>
      </c>
      <c r="BX72" s="203">
        <v>0</v>
      </c>
      <c r="BY72" s="203">
        <v>0</v>
      </c>
      <c r="BZ72" s="203">
        <v>0</v>
      </c>
      <c r="CA72" s="203">
        <v>0</v>
      </c>
      <c r="CB72" s="203">
        <v>0</v>
      </c>
      <c r="CC72" s="203">
        <v>0</v>
      </c>
      <c r="CD72" s="203">
        <v>0</v>
      </c>
      <c r="CE72" s="203">
        <v>0</v>
      </c>
      <c r="CF72" s="203">
        <v>0</v>
      </c>
      <c r="CG72" s="203">
        <v>0</v>
      </c>
      <c r="CH72" s="203">
        <v>0</v>
      </c>
      <c r="CI72" s="203">
        <v>0</v>
      </c>
      <c r="CJ72" s="203">
        <v>0</v>
      </c>
      <c r="CK72" s="203">
        <v>0</v>
      </c>
      <c r="CL72" s="203">
        <v>0</v>
      </c>
      <c r="CM72" s="203">
        <v>0</v>
      </c>
      <c r="CN72" s="203">
        <v>0</v>
      </c>
      <c r="CO72" s="203">
        <v>0</v>
      </c>
      <c r="CP72" s="203">
        <v>0</v>
      </c>
      <c r="CQ72" s="203">
        <v>0</v>
      </c>
      <c r="CR72" s="203">
        <v>0</v>
      </c>
      <c r="CS72" s="203">
        <v>0</v>
      </c>
      <c r="CT72" s="203">
        <v>0</v>
      </c>
      <c r="CU72" s="203">
        <v>0</v>
      </c>
      <c r="CV72" s="203">
        <v>0</v>
      </c>
      <c r="CW72" s="203">
        <v>0</v>
      </c>
      <c r="CX72" s="203">
        <v>0</v>
      </c>
      <c r="CY72" s="203">
        <v>0</v>
      </c>
      <c r="CZ72" s="203">
        <v>0</v>
      </c>
      <c r="DA72" s="203">
        <v>0</v>
      </c>
      <c r="DB72" s="203">
        <v>0</v>
      </c>
      <c r="DC72" s="203">
        <v>0</v>
      </c>
      <c r="DD72" s="203">
        <v>0</v>
      </c>
      <c r="DE72" s="203">
        <v>0</v>
      </c>
      <c r="DF72" s="203">
        <v>0</v>
      </c>
      <c r="DG72" s="203">
        <v>0</v>
      </c>
      <c r="DH72" s="203">
        <v>0</v>
      </c>
      <c r="DI72" s="203">
        <v>0</v>
      </c>
      <c r="DJ72" s="203">
        <v>0</v>
      </c>
      <c r="DK72" s="203">
        <v>0</v>
      </c>
      <c r="DL72" s="203">
        <v>0</v>
      </c>
      <c r="DM72" s="203">
        <v>0</v>
      </c>
      <c r="DN72" s="203">
        <v>0</v>
      </c>
      <c r="DO72" s="203">
        <v>0</v>
      </c>
      <c r="DP72" s="203">
        <v>0</v>
      </c>
      <c r="DQ72" s="203">
        <v>0</v>
      </c>
      <c r="DR72" s="203">
        <v>0</v>
      </c>
      <c r="DS72" s="203">
        <v>0</v>
      </c>
      <c r="DT72" s="203">
        <v>0</v>
      </c>
      <c r="DU72" s="203">
        <v>0</v>
      </c>
      <c r="DV72" s="203">
        <v>0</v>
      </c>
      <c r="DW72" s="203">
        <v>0</v>
      </c>
      <c r="DX72" s="203">
        <v>0</v>
      </c>
      <c r="DY72" s="203">
        <v>0</v>
      </c>
      <c r="DZ72" s="203">
        <v>0</v>
      </c>
      <c r="EA72" s="203">
        <v>0</v>
      </c>
      <c r="EB72" s="203">
        <v>0</v>
      </c>
      <c r="EC72" s="203">
        <v>0</v>
      </c>
      <c r="ED72" s="203">
        <v>0</v>
      </c>
      <c r="EE72" s="203">
        <v>0</v>
      </c>
      <c r="EF72" s="203">
        <v>0</v>
      </c>
      <c r="EG72" s="203">
        <v>0</v>
      </c>
      <c r="EH72" s="203">
        <v>0</v>
      </c>
      <c r="EI72" s="203">
        <v>0</v>
      </c>
      <c r="EJ72" s="203">
        <v>0</v>
      </c>
      <c r="EK72" s="203">
        <v>0</v>
      </c>
      <c r="EL72" s="203">
        <v>0</v>
      </c>
      <c r="EM72" s="203">
        <v>0</v>
      </c>
      <c r="EN72" s="203">
        <v>0</v>
      </c>
      <c r="EO72" s="203">
        <v>0</v>
      </c>
      <c r="EP72" s="203">
        <v>0</v>
      </c>
      <c r="EQ72" s="203">
        <v>0</v>
      </c>
      <c r="ER72" s="203">
        <v>0</v>
      </c>
      <c r="ES72" s="203">
        <v>0</v>
      </c>
      <c r="ET72" s="203">
        <v>0</v>
      </c>
      <c r="EU72" s="203">
        <v>0</v>
      </c>
      <c r="EV72" s="203">
        <v>0</v>
      </c>
      <c r="EW72" s="203">
        <v>0</v>
      </c>
      <c r="EX72" s="203">
        <v>0</v>
      </c>
      <c r="EY72" s="203">
        <v>0</v>
      </c>
      <c r="EZ72" s="203">
        <v>0</v>
      </c>
      <c r="FA72" s="203">
        <v>0</v>
      </c>
      <c r="FB72" s="203">
        <v>0</v>
      </c>
      <c r="FC72" s="203">
        <v>0</v>
      </c>
      <c r="FD72" s="203">
        <v>0</v>
      </c>
      <c r="FE72" s="203">
        <v>0</v>
      </c>
      <c r="FF72" s="203">
        <v>0</v>
      </c>
      <c r="FG72" s="203">
        <v>0</v>
      </c>
      <c r="FH72" s="203">
        <v>0</v>
      </c>
      <c r="FI72" s="203">
        <v>0</v>
      </c>
      <c r="FJ72" s="203">
        <v>0</v>
      </c>
      <c r="FK72" s="203">
        <v>0</v>
      </c>
      <c r="FL72" s="203">
        <v>0</v>
      </c>
      <c r="FM72" s="203">
        <v>0</v>
      </c>
      <c r="FN72" s="203">
        <v>0</v>
      </c>
      <c r="FO72" s="203">
        <v>0</v>
      </c>
      <c r="FP72" s="203">
        <v>0</v>
      </c>
      <c r="FQ72" s="203">
        <v>0</v>
      </c>
      <c r="FR72" s="203">
        <v>0</v>
      </c>
      <c r="FS72" s="203">
        <v>0</v>
      </c>
      <c r="FT72" s="203">
        <v>0</v>
      </c>
      <c r="FU72" s="203">
        <v>0</v>
      </c>
      <c r="FV72" s="203">
        <v>0</v>
      </c>
      <c r="FW72" s="203">
        <v>0</v>
      </c>
      <c r="FX72" s="203">
        <v>0</v>
      </c>
      <c r="FY72" s="203">
        <v>0</v>
      </c>
      <c r="FZ72" s="203">
        <v>0</v>
      </c>
      <c r="GA72" s="203">
        <v>0</v>
      </c>
      <c r="GB72" s="203">
        <v>0</v>
      </c>
      <c r="GC72" s="203">
        <v>0</v>
      </c>
      <c r="GD72" s="203">
        <v>0</v>
      </c>
      <c r="GE72" s="203">
        <v>0</v>
      </c>
      <c r="GF72" s="203">
        <v>0</v>
      </c>
      <c r="GG72" s="203">
        <v>0</v>
      </c>
      <c r="GH72" s="203">
        <v>0</v>
      </c>
      <c r="GI72" s="203">
        <v>0</v>
      </c>
      <c r="GJ72" s="203">
        <v>0</v>
      </c>
      <c r="GK72" s="203">
        <v>0</v>
      </c>
      <c r="GL72" s="203">
        <v>0</v>
      </c>
      <c r="GM72" s="203">
        <v>0</v>
      </c>
      <c r="GN72" s="203">
        <v>0</v>
      </c>
      <c r="GO72" s="203">
        <v>0</v>
      </c>
      <c r="GP72" s="203">
        <v>0</v>
      </c>
      <c r="GQ72" s="203">
        <v>0</v>
      </c>
      <c r="GR72" s="203">
        <v>0</v>
      </c>
      <c r="GS72" s="203">
        <v>0</v>
      </c>
      <c r="GT72" s="203">
        <v>0</v>
      </c>
      <c r="GU72" s="203">
        <v>0</v>
      </c>
      <c r="GV72" s="203">
        <v>0</v>
      </c>
      <c r="GW72" s="203">
        <v>0</v>
      </c>
      <c r="GX72" s="203">
        <v>0</v>
      </c>
      <c r="GY72" s="203">
        <v>0</v>
      </c>
      <c r="GZ72" s="203">
        <v>0</v>
      </c>
      <c r="HA72" s="203">
        <v>0</v>
      </c>
      <c r="HB72" s="203">
        <v>0</v>
      </c>
      <c r="HC72" s="203">
        <v>0</v>
      </c>
      <c r="HD72" s="203">
        <v>0</v>
      </c>
      <c r="HE72" s="203">
        <v>0</v>
      </c>
      <c r="HF72" s="203">
        <v>0</v>
      </c>
      <c r="HG72" s="203">
        <v>0</v>
      </c>
      <c r="HH72" s="203">
        <v>0</v>
      </c>
      <c r="HI72" s="203">
        <v>0</v>
      </c>
      <c r="HJ72" s="203">
        <v>0</v>
      </c>
      <c r="HK72" s="203">
        <v>0</v>
      </c>
      <c r="HL72" s="203">
        <v>0</v>
      </c>
      <c r="HM72" s="203">
        <v>0</v>
      </c>
      <c r="HN72" s="203">
        <v>0</v>
      </c>
      <c r="HO72" s="203">
        <v>0</v>
      </c>
      <c r="HP72" s="203">
        <v>0</v>
      </c>
      <c r="HQ72" s="203">
        <v>0</v>
      </c>
      <c r="HR72" s="203">
        <v>0</v>
      </c>
      <c r="HS72" s="203">
        <v>0</v>
      </c>
      <c r="HT72" s="203">
        <v>0</v>
      </c>
      <c r="HU72" s="203">
        <v>0</v>
      </c>
      <c r="HV72" s="203">
        <v>0</v>
      </c>
      <c r="HW72" s="203">
        <v>0</v>
      </c>
      <c r="HX72" s="203">
        <v>0</v>
      </c>
      <c r="HY72" s="203">
        <v>0</v>
      </c>
      <c r="HZ72" s="203">
        <v>0</v>
      </c>
      <c r="IA72" s="191">
        <v>0</v>
      </c>
      <c r="IB72" s="191">
        <v>0</v>
      </c>
      <c r="IC72" s="191">
        <v>0</v>
      </c>
      <c r="ID72" s="191">
        <v>0</v>
      </c>
      <c r="IE72" s="191">
        <v>0</v>
      </c>
      <c r="IF72" s="191">
        <v>0</v>
      </c>
      <c r="IG72" s="410">
        <v>0</v>
      </c>
      <c r="IH72" s="410">
        <v>0</v>
      </c>
      <c r="II72" s="410">
        <v>0</v>
      </c>
      <c r="IJ72" s="410">
        <v>0</v>
      </c>
      <c r="IK72" s="410">
        <v>0</v>
      </c>
      <c r="IL72" s="410">
        <v>0</v>
      </c>
      <c r="IM72" s="410">
        <v>0</v>
      </c>
      <c r="IN72" s="410">
        <v>0</v>
      </c>
      <c r="IO72" s="410">
        <v>0</v>
      </c>
      <c r="IP72" s="410">
        <v>0</v>
      </c>
      <c r="IQ72" s="410">
        <v>0</v>
      </c>
      <c r="IR72" s="410">
        <v>0</v>
      </c>
      <c r="IS72" s="410">
        <v>0</v>
      </c>
      <c r="IT72" s="410">
        <v>0</v>
      </c>
      <c r="IU72" s="410">
        <v>0</v>
      </c>
      <c r="IV72" s="410">
        <v>0</v>
      </c>
      <c r="IW72" s="410">
        <v>0</v>
      </c>
      <c r="IX72" s="410">
        <v>0</v>
      </c>
      <c r="IY72" s="410">
        <v>0</v>
      </c>
      <c r="IZ72" s="410">
        <v>0</v>
      </c>
      <c r="JA72" s="410"/>
      <c r="JB72" s="410"/>
      <c r="JC72" s="410"/>
      <c r="JD72" s="410"/>
      <c r="JE72" s="410"/>
      <c r="JF72" s="410"/>
      <c r="JG72" s="410"/>
      <c r="JH72" s="410"/>
      <c r="JI72" s="410"/>
      <c r="JJ72" s="410"/>
      <c r="JK72" s="410">
        <f t="shared" si="164"/>
        <v>0</v>
      </c>
      <c r="JL72" s="410">
        <v>0</v>
      </c>
      <c r="JM72" s="10"/>
      <c r="JN72" s="10"/>
      <c r="JO72" s="10"/>
      <c r="JP72" s="10"/>
      <c r="JQ72" s="10"/>
      <c r="JR72" s="11"/>
      <c r="JS72" s="10"/>
      <c r="JT72" s="9"/>
      <c r="JU72" s="11"/>
    </row>
    <row r="73" spans="1:281" x14ac:dyDescent="0.25">
      <c r="A73" s="144" t="s">
        <v>74</v>
      </c>
      <c r="B73" s="79">
        <v>174</v>
      </c>
      <c r="C73" s="79">
        <v>80</v>
      </c>
      <c r="D73" s="79">
        <v>23</v>
      </c>
      <c r="E73" s="79">
        <v>8</v>
      </c>
      <c r="F73" s="79">
        <v>169</v>
      </c>
      <c r="G73" s="79">
        <v>56</v>
      </c>
      <c r="H73" s="79">
        <v>30</v>
      </c>
      <c r="I73" s="79">
        <v>2</v>
      </c>
      <c r="J73" s="106" t="s">
        <v>29</v>
      </c>
      <c r="K73" s="106" t="s">
        <v>29</v>
      </c>
      <c r="L73" s="106" t="s">
        <v>29</v>
      </c>
      <c r="M73" s="79">
        <v>10</v>
      </c>
      <c r="N73" s="101" t="s">
        <v>29</v>
      </c>
      <c r="O73" s="102" t="s">
        <v>29</v>
      </c>
      <c r="P73" s="101" t="s">
        <v>29</v>
      </c>
      <c r="Q73" s="102" t="s">
        <v>29</v>
      </c>
      <c r="R73" s="101" t="s">
        <v>29</v>
      </c>
      <c r="S73" s="113" t="s">
        <v>29</v>
      </c>
      <c r="T73" s="113" t="s">
        <v>29</v>
      </c>
      <c r="U73" s="113" t="s">
        <v>29</v>
      </c>
      <c r="V73" s="113" t="s">
        <v>29</v>
      </c>
      <c r="W73" s="113" t="s">
        <v>29</v>
      </c>
      <c r="X73" s="113" t="s">
        <v>29</v>
      </c>
      <c r="Y73" s="111" t="s">
        <v>29</v>
      </c>
      <c r="Z73" s="104" t="s">
        <v>29</v>
      </c>
      <c r="AA73" s="113"/>
      <c r="AB73" s="113" t="s">
        <v>29</v>
      </c>
      <c r="AC73" s="111" t="s">
        <v>29</v>
      </c>
      <c r="AD73" s="104" t="s">
        <v>29</v>
      </c>
      <c r="AE73" s="94">
        <f>SUM(S73:AC73)</f>
        <v>0</v>
      </c>
      <c r="AF73" s="93"/>
      <c r="AG73" s="93"/>
      <c r="AH73" s="94"/>
      <c r="AI73" s="94"/>
      <c r="AJ73" s="94"/>
      <c r="AK73" s="94"/>
      <c r="AL73" s="94"/>
      <c r="AM73" s="94">
        <v>0</v>
      </c>
      <c r="AN73" s="101"/>
      <c r="AO73" s="69"/>
      <c r="AP73" s="95"/>
      <c r="AQ73" s="69"/>
      <c r="AR73" s="101"/>
      <c r="AS73" s="69"/>
      <c r="AT73" s="69"/>
      <c r="AU73" s="69"/>
      <c r="AV73" s="104"/>
      <c r="AW73" s="69"/>
      <c r="AX73" s="69"/>
      <c r="AY73" s="93"/>
      <c r="AZ73" s="69">
        <f t="shared" si="163"/>
        <v>0</v>
      </c>
      <c r="BA73" s="69">
        <v>0</v>
      </c>
      <c r="BB73" s="69">
        <v>0</v>
      </c>
      <c r="BC73" s="69"/>
      <c r="BD73" s="69"/>
      <c r="BE73" s="69"/>
      <c r="BF73" s="69"/>
      <c r="BG73" s="191">
        <v>0</v>
      </c>
      <c r="BH73" s="203">
        <v>0</v>
      </c>
      <c r="BI73" s="203">
        <v>0</v>
      </c>
      <c r="BJ73" s="203">
        <v>0</v>
      </c>
      <c r="BK73" s="203">
        <v>0</v>
      </c>
      <c r="BL73" s="203">
        <v>0</v>
      </c>
      <c r="BM73" s="203">
        <v>0</v>
      </c>
      <c r="BN73" s="203">
        <v>0</v>
      </c>
      <c r="BO73" s="203">
        <v>0</v>
      </c>
      <c r="BP73" s="101">
        <v>0</v>
      </c>
      <c r="BQ73" s="95">
        <v>0</v>
      </c>
      <c r="BR73" s="69">
        <v>0</v>
      </c>
      <c r="BS73" s="69">
        <v>0</v>
      </c>
      <c r="BT73" s="101">
        <v>0</v>
      </c>
      <c r="BU73" s="69">
        <v>0</v>
      </c>
      <c r="BV73" s="69">
        <v>0</v>
      </c>
      <c r="BW73" s="69">
        <v>0</v>
      </c>
      <c r="BX73" s="104">
        <v>0</v>
      </c>
      <c r="BY73" s="69">
        <v>0</v>
      </c>
      <c r="BZ73" s="69">
        <v>0</v>
      </c>
      <c r="CA73" s="93">
        <v>0</v>
      </c>
      <c r="CB73" s="95">
        <f>SUM(BP73:BY73)</f>
        <v>0</v>
      </c>
      <c r="CC73" s="69"/>
      <c r="CD73" s="69"/>
      <c r="CE73" s="95"/>
      <c r="CF73" s="95">
        <f>CC73+CD73</f>
        <v>0</v>
      </c>
      <c r="CG73" s="95"/>
      <c r="CH73" s="104" t="s">
        <v>29</v>
      </c>
      <c r="CI73" s="111"/>
      <c r="CJ73" s="111"/>
      <c r="CK73" s="111"/>
      <c r="CL73" s="111"/>
      <c r="CM73" s="111"/>
      <c r="CN73" s="111"/>
      <c r="CO73" s="95">
        <f>SUM(CC73:CD73)</f>
        <v>0</v>
      </c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99"/>
      <c r="DB73" s="119"/>
      <c r="DC73" s="96"/>
      <c r="DD73" s="119"/>
      <c r="DE73" s="119"/>
      <c r="DF73" s="119"/>
      <c r="DG73" s="119"/>
      <c r="DH73" s="120"/>
      <c r="DI73" s="120"/>
      <c r="DJ73" s="120"/>
      <c r="DK73" s="120"/>
      <c r="DL73" s="120"/>
      <c r="DM73" s="120"/>
      <c r="DN73" s="120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>
        <f>SUM(EC73:EF73)</f>
        <v>0</v>
      </c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>
        <f>SUM(EO73:ER73)</f>
        <v>0</v>
      </c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180"/>
      <c r="GD73" s="180"/>
      <c r="GE73" s="180"/>
      <c r="GF73" s="96"/>
      <c r="GG73" s="96"/>
      <c r="GH73" s="96"/>
      <c r="GI73" s="96"/>
      <c r="GJ73" s="96"/>
      <c r="GK73" s="96"/>
      <c r="GL73" s="96"/>
      <c r="GM73" s="96"/>
      <c r="GN73" s="96"/>
      <c r="GO73" s="314"/>
      <c r="GP73" s="318">
        <v>0</v>
      </c>
      <c r="GQ73" s="318">
        <v>0</v>
      </c>
      <c r="GR73" s="318">
        <v>0</v>
      </c>
      <c r="GS73" s="318">
        <v>0</v>
      </c>
      <c r="GT73" s="318">
        <v>0</v>
      </c>
      <c r="GU73" s="318">
        <v>0</v>
      </c>
      <c r="GV73" s="318">
        <v>0</v>
      </c>
      <c r="GW73" s="318">
        <v>0</v>
      </c>
      <c r="GX73" s="318">
        <v>0</v>
      </c>
      <c r="GY73" s="318">
        <v>0</v>
      </c>
      <c r="GZ73" s="318">
        <v>0</v>
      </c>
      <c r="HA73" s="318">
        <v>0</v>
      </c>
      <c r="HB73" s="318">
        <v>0</v>
      </c>
      <c r="HC73" s="318">
        <v>0</v>
      </c>
      <c r="HD73" s="318">
        <v>0</v>
      </c>
      <c r="HE73" s="318">
        <v>0</v>
      </c>
      <c r="HF73" s="318">
        <v>0</v>
      </c>
      <c r="HG73" s="318">
        <v>0</v>
      </c>
      <c r="HH73" s="318">
        <v>0</v>
      </c>
      <c r="HI73" s="318">
        <v>0</v>
      </c>
      <c r="HJ73" s="318">
        <v>0</v>
      </c>
      <c r="HK73" s="318">
        <v>0</v>
      </c>
      <c r="HL73" s="318">
        <v>0</v>
      </c>
      <c r="HM73" s="318">
        <v>0</v>
      </c>
      <c r="HN73" s="318">
        <v>0</v>
      </c>
      <c r="HO73" s="318">
        <v>0</v>
      </c>
      <c r="HP73" s="318">
        <v>0</v>
      </c>
      <c r="HQ73" s="318">
        <v>0</v>
      </c>
      <c r="HR73" s="318">
        <v>0</v>
      </c>
      <c r="HS73" s="318">
        <v>0</v>
      </c>
      <c r="HT73" s="318">
        <v>0</v>
      </c>
      <c r="HU73" s="318">
        <v>0</v>
      </c>
      <c r="HV73" s="318">
        <v>0</v>
      </c>
      <c r="HW73" s="318">
        <v>0</v>
      </c>
      <c r="HX73" s="318">
        <v>0</v>
      </c>
      <c r="HY73" s="318">
        <v>0</v>
      </c>
      <c r="HZ73" s="318">
        <v>0</v>
      </c>
      <c r="IA73" s="191">
        <v>0</v>
      </c>
      <c r="IB73" s="191">
        <v>0</v>
      </c>
      <c r="IC73" s="191">
        <v>0</v>
      </c>
      <c r="ID73" s="191">
        <v>0</v>
      </c>
      <c r="IE73" s="191">
        <v>0</v>
      </c>
      <c r="IF73" s="191">
        <v>0</v>
      </c>
      <c r="IG73" s="410">
        <v>0</v>
      </c>
      <c r="IH73" s="410">
        <v>0</v>
      </c>
      <c r="II73" s="410">
        <v>0</v>
      </c>
      <c r="IJ73" s="410">
        <v>0</v>
      </c>
      <c r="IK73" s="410">
        <v>0</v>
      </c>
      <c r="IL73" s="410">
        <v>0</v>
      </c>
      <c r="IM73" s="410">
        <v>0</v>
      </c>
      <c r="IN73" s="410">
        <v>0</v>
      </c>
      <c r="IO73" s="410">
        <v>0</v>
      </c>
      <c r="IP73" s="410">
        <v>0</v>
      </c>
      <c r="IQ73" s="410">
        <v>0</v>
      </c>
      <c r="IR73" s="410">
        <v>0</v>
      </c>
      <c r="IS73" s="410">
        <v>0</v>
      </c>
      <c r="IT73" s="410">
        <v>0</v>
      </c>
      <c r="IU73" s="410">
        <v>0</v>
      </c>
      <c r="IV73" s="410">
        <v>0</v>
      </c>
      <c r="IW73" s="410">
        <v>0</v>
      </c>
      <c r="IX73" s="410">
        <v>0</v>
      </c>
      <c r="IY73" s="410">
        <v>0</v>
      </c>
      <c r="IZ73" s="410">
        <v>0</v>
      </c>
      <c r="JA73" s="410"/>
      <c r="JB73" s="410"/>
      <c r="JC73" s="410"/>
      <c r="JD73" s="410"/>
      <c r="JE73" s="410"/>
      <c r="JF73" s="410"/>
      <c r="JG73" s="410"/>
      <c r="JH73" s="410"/>
      <c r="JI73" s="410"/>
      <c r="JJ73" s="410"/>
      <c r="JK73" s="410">
        <f t="shared" si="164"/>
        <v>0</v>
      </c>
      <c r="JL73" s="410">
        <v>0</v>
      </c>
      <c r="JM73" s="11"/>
      <c r="JN73" s="10"/>
      <c r="JO73" s="10"/>
      <c r="JP73" s="10"/>
      <c r="JQ73" s="10"/>
      <c r="JR73" s="11"/>
      <c r="JS73" s="10"/>
      <c r="JT73" s="9"/>
      <c r="JU73" s="11"/>
    </row>
    <row r="74" spans="1:281" x14ac:dyDescent="0.25">
      <c r="A74" s="144" t="s">
        <v>75</v>
      </c>
      <c r="B74" s="79">
        <v>813</v>
      </c>
      <c r="C74" s="79">
        <v>1829</v>
      </c>
      <c r="D74" s="79">
        <v>2364</v>
      </c>
      <c r="E74" s="79">
        <v>806</v>
      </c>
      <c r="F74" s="79">
        <v>2477</v>
      </c>
      <c r="G74" s="79">
        <v>2694</v>
      </c>
      <c r="H74" s="79">
        <v>2805</v>
      </c>
      <c r="I74" s="79">
        <v>3324</v>
      </c>
      <c r="J74" s="79">
        <v>2745</v>
      </c>
      <c r="K74" s="79">
        <v>1778</v>
      </c>
      <c r="L74" s="79">
        <v>2501</v>
      </c>
      <c r="M74" s="79">
        <v>3298</v>
      </c>
      <c r="N74" s="93">
        <v>2425</v>
      </c>
      <c r="O74" s="92">
        <v>5816</v>
      </c>
      <c r="P74" s="93">
        <v>6166</v>
      </c>
      <c r="Q74" s="92">
        <v>3242</v>
      </c>
      <c r="R74" s="93">
        <v>2455</v>
      </c>
      <c r="S74" s="37">
        <v>202</v>
      </c>
      <c r="T74" s="37">
        <f>117+14</f>
        <v>131</v>
      </c>
      <c r="U74" s="37">
        <v>207</v>
      </c>
      <c r="V74" s="37">
        <f>156+26+70</f>
        <v>252</v>
      </c>
      <c r="W74" s="37">
        <f>224+14+67</f>
        <v>305</v>
      </c>
      <c r="X74" s="113">
        <f>167+12</f>
        <v>179</v>
      </c>
      <c r="Y74" s="95">
        <f>124+7</f>
        <v>131</v>
      </c>
      <c r="Z74" s="69">
        <f>254+7</f>
        <v>261</v>
      </c>
      <c r="AA74" s="69">
        <v>200</v>
      </c>
      <c r="AB74" s="69">
        <v>148</v>
      </c>
      <c r="AC74" s="95">
        <v>248</v>
      </c>
      <c r="AD74" s="69">
        <v>191</v>
      </c>
      <c r="AE74" s="94">
        <f>SUM(S74:AD74)</f>
        <v>2455</v>
      </c>
      <c r="AF74" s="93">
        <v>2046</v>
      </c>
      <c r="AG74" s="93">
        <v>2234</v>
      </c>
      <c r="AH74" s="94">
        <v>1920</v>
      </c>
      <c r="AI74" s="94">
        <v>1814</v>
      </c>
      <c r="AJ74" s="104">
        <v>149</v>
      </c>
      <c r="AK74" s="94">
        <v>1998</v>
      </c>
      <c r="AL74" s="94">
        <v>1499.8079999999998</v>
      </c>
      <c r="AM74" s="94">
        <v>777.33699999999999</v>
      </c>
      <c r="AN74" s="101">
        <v>32.200000000000003</v>
      </c>
      <c r="AO74" s="69">
        <v>29.9</v>
      </c>
      <c r="AP74" s="69">
        <v>46</v>
      </c>
      <c r="AQ74" s="37">
        <v>43.7</v>
      </c>
      <c r="AR74" s="101">
        <v>39.1</v>
      </c>
      <c r="AS74" s="69">
        <v>80.5</v>
      </c>
      <c r="AT74" s="69">
        <v>71.3</v>
      </c>
      <c r="AU74" s="69">
        <v>127.06400000000001</v>
      </c>
      <c r="AV74" s="69">
        <v>85.15</v>
      </c>
      <c r="AW74" s="69">
        <v>91.272999999999996</v>
      </c>
      <c r="AX74" s="69">
        <v>62.1</v>
      </c>
      <c r="AY74" s="93">
        <v>69.05</v>
      </c>
      <c r="AZ74" s="69">
        <f t="shared" si="163"/>
        <v>708.28700000000003</v>
      </c>
      <c r="BA74" s="69">
        <v>528.37</v>
      </c>
      <c r="BB74" s="69">
        <v>427.79999999999995</v>
      </c>
      <c r="BC74" s="69">
        <v>1302.2550000000001</v>
      </c>
      <c r="BD74" s="69">
        <v>2928.6900000000005</v>
      </c>
      <c r="BE74" s="69">
        <v>5422.5219999999999</v>
      </c>
      <c r="BF74" s="69">
        <v>7494.1310000000003</v>
      </c>
      <c r="BG74" s="69">
        <v>5390.6500000000015</v>
      </c>
      <c r="BH74" s="69">
        <v>5654.78</v>
      </c>
      <c r="BI74" s="69">
        <v>3712.4509999999996</v>
      </c>
      <c r="BJ74" s="69">
        <v>6607.8500000000013</v>
      </c>
      <c r="BK74" s="69">
        <v>5919.9</v>
      </c>
      <c r="BL74" s="203">
        <v>14067.72</v>
      </c>
      <c r="BM74" s="203">
        <v>9116.7749999999996</v>
      </c>
      <c r="BN74" s="191">
        <v>14036.227000000001</v>
      </c>
      <c r="BO74" s="191">
        <v>13971.949999999999</v>
      </c>
      <c r="BP74" s="101">
        <v>779.52699999999993</v>
      </c>
      <c r="BQ74" s="95">
        <v>1335.7500000000002</v>
      </c>
      <c r="BR74" s="69">
        <v>554.04999999999995</v>
      </c>
      <c r="BS74" s="69">
        <v>1198.3500000000001</v>
      </c>
      <c r="BT74" s="101">
        <v>1160.95</v>
      </c>
      <c r="BU74" s="69">
        <v>501.1</v>
      </c>
      <c r="BV74" s="69">
        <v>1505.3500000000001</v>
      </c>
      <c r="BW74" s="69">
        <v>2007.4999999999998</v>
      </c>
      <c r="BX74" s="69">
        <v>1723.05</v>
      </c>
      <c r="BY74" s="69">
        <v>1531.75</v>
      </c>
      <c r="BZ74" s="69">
        <v>1064.2</v>
      </c>
      <c r="CA74" s="93">
        <v>14036.227000000001</v>
      </c>
      <c r="CB74" s="95">
        <f>SUM(BP74:BY74)</f>
        <v>12297.377</v>
      </c>
      <c r="CC74" s="69">
        <v>29.9</v>
      </c>
      <c r="CD74" s="69">
        <v>29.9</v>
      </c>
      <c r="CE74" s="95">
        <v>20.7</v>
      </c>
      <c r="CF74" s="95">
        <v>11.5</v>
      </c>
      <c r="CG74" s="95">
        <v>34.5</v>
      </c>
      <c r="CH74" s="104" t="s">
        <v>29</v>
      </c>
      <c r="CI74" s="111"/>
      <c r="CJ74" s="111">
        <v>20.7</v>
      </c>
      <c r="CK74" s="111">
        <v>16.100000000000001</v>
      </c>
      <c r="CL74" s="111">
        <v>52.9</v>
      </c>
      <c r="CM74" s="111">
        <v>66.7</v>
      </c>
      <c r="CN74" s="111">
        <v>144.9</v>
      </c>
      <c r="CO74" s="95">
        <f>SUM(CC74:CN74)</f>
        <v>427.79999999999995</v>
      </c>
      <c r="CP74" s="111">
        <v>105.8</v>
      </c>
      <c r="CQ74" s="111">
        <f>135.7+4.5</f>
        <v>140.19999999999999</v>
      </c>
      <c r="CR74" s="111">
        <v>115</v>
      </c>
      <c r="CS74" s="95">
        <v>85.1</v>
      </c>
      <c r="CT74" s="95">
        <f>62.1+2.875</f>
        <v>64.974999999999994</v>
      </c>
      <c r="CU74" s="95">
        <v>87.4</v>
      </c>
      <c r="CV74" s="95">
        <v>69</v>
      </c>
      <c r="CW74" s="95">
        <v>119.6</v>
      </c>
      <c r="CX74" s="95">
        <v>117.3</v>
      </c>
      <c r="CY74" s="95">
        <v>135.69999999999999</v>
      </c>
      <c r="CZ74" s="95">
        <f>161.3+16.38</f>
        <v>177.68</v>
      </c>
      <c r="DA74" s="95">
        <f>80.5+4</f>
        <v>84.5</v>
      </c>
      <c r="DB74" s="95">
        <f>SUM(CP74:DA74)</f>
        <v>1302.2550000000001</v>
      </c>
      <c r="DC74" s="96">
        <f>103.5+2.2</f>
        <v>105.7</v>
      </c>
      <c r="DD74" s="95">
        <v>55.2</v>
      </c>
      <c r="DE74" s="95">
        <f>165.6+19.35</f>
        <v>184.95</v>
      </c>
      <c r="DF74" s="95">
        <f>133.4+912.2</f>
        <v>1045.6000000000001</v>
      </c>
      <c r="DG74" s="95">
        <f>96.6+77.4</f>
        <v>174</v>
      </c>
      <c r="DH74" s="100">
        <v>167.9</v>
      </c>
      <c r="DI74" s="100">
        <f>117.3+42</f>
        <v>159.30000000000001</v>
      </c>
      <c r="DJ74" s="100">
        <f>126.5+87</f>
        <v>213.5</v>
      </c>
      <c r="DK74" s="100">
        <f>69+87</f>
        <v>156</v>
      </c>
      <c r="DL74" s="100">
        <f>165.9+1</f>
        <v>166.9</v>
      </c>
      <c r="DM74" s="100">
        <f>115+0.66</f>
        <v>115.66</v>
      </c>
      <c r="DN74" s="100">
        <f>55.2+328.78</f>
        <v>383.97999999999996</v>
      </c>
      <c r="DO74" s="96">
        <f>SUM(DC74:DL74)</f>
        <v>2429.0500000000006</v>
      </c>
      <c r="DP74" s="96">
        <f>59.8+215.76</f>
        <v>275.56</v>
      </c>
      <c r="DQ74" s="96">
        <f>103.8+69</f>
        <v>172.8</v>
      </c>
      <c r="DR74" s="96">
        <f>135.7+436.17</f>
        <v>571.87</v>
      </c>
      <c r="DS74" s="96">
        <f>69+178.1+81.9</f>
        <v>329</v>
      </c>
      <c r="DT74" s="96">
        <f>69+3</f>
        <v>72</v>
      </c>
      <c r="DU74" s="96">
        <f>92+19.6</f>
        <v>111.6</v>
      </c>
      <c r="DV74" s="96">
        <v>245.02</v>
      </c>
      <c r="DW74" s="96">
        <f>128+13.75</f>
        <v>141.75</v>
      </c>
      <c r="DX74" s="96">
        <f>115+623.65</f>
        <v>738.65</v>
      </c>
      <c r="DY74" s="96">
        <f>135.7+982.522</f>
        <v>1118.222</v>
      </c>
      <c r="DZ74" s="96">
        <f>1512.003-DZ69</f>
        <v>642.29999999999995</v>
      </c>
      <c r="EA74" s="96">
        <f>216.2+258.6+528.95</f>
        <v>1003.75</v>
      </c>
      <c r="EB74" s="96">
        <f>SUM(DP74:EA74)</f>
        <v>5422.5219999999999</v>
      </c>
      <c r="EC74" s="96">
        <v>345.35599999999999</v>
      </c>
      <c r="ED74" s="96">
        <f>124.2+379.05</f>
        <v>503.25</v>
      </c>
      <c r="EE74" s="96">
        <f>232.3+931.15</f>
        <v>1163.45</v>
      </c>
      <c r="EF74" s="96">
        <f>230+69</f>
        <v>299</v>
      </c>
      <c r="EG74" s="96">
        <f>119.6+556.175</f>
        <v>675.77499999999998</v>
      </c>
      <c r="EH74" s="96">
        <f>186.3+769.15</f>
        <v>955.45</v>
      </c>
      <c r="EI74" s="96">
        <f>174.8+64.4</f>
        <v>239.20000000000002</v>
      </c>
      <c r="EJ74" s="96">
        <f>172.5+100.85</f>
        <v>273.35000000000002</v>
      </c>
      <c r="EK74" s="96">
        <f>209.3+237.2+193.35</f>
        <v>639.85</v>
      </c>
      <c r="EL74" s="96">
        <f>216.2+390+583.65</f>
        <v>1189.8499999999999</v>
      </c>
      <c r="EM74" s="96">
        <f>181.7+509.75</f>
        <v>691.45</v>
      </c>
      <c r="EN74" s="96">
        <f>177.1+341.05</f>
        <v>518.15</v>
      </c>
      <c r="EO74" s="96">
        <f>SUM(EC74:EN74)</f>
        <v>7494.1310000000003</v>
      </c>
      <c r="EP74" s="96">
        <f>234.6+182.6</f>
        <v>417.2</v>
      </c>
      <c r="EQ74" s="96">
        <f>331.2+115.2</f>
        <v>446.4</v>
      </c>
      <c r="ER74" s="96">
        <f>368+15.2</f>
        <v>383.2</v>
      </c>
      <c r="ES74" s="96">
        <v>365.84999999999997</v>
      </c>
      <c r="ET74" s="96">
        <f>167.9+219.3</f>
        <v>387.20000000000005</v>
      </c>
      <c r="EU74" s="96">
        <f>193.2+545</f>
        <v>738.2</v>
      </c>
      <c r="EV74" s="96">
        <f>149.5+7.55</f>
        <v>157.05000000000001</v>
      </c>
      <c r="EW74" s="96">
        <f>142.6+6.45</f>
        <v>149.04999999999998</v>
      </c>
      <c r="EX74" s="96">
        <f>179.4+288.35</f>
        <v>467.75</v>
      </c>
      <c r="EY74" s="96">
        <f>165.6+143.7</f>
        <v>309.29999999999995</v>
      </c>
      <c r="EZ74" s="96">
        <f>195.5+692.1</f>
        <v>887.6</v>
      </c>
      <c r="FA74" s="96">
        <f>365.7+316.15</f>
        <v>681.84999999999991</v>
      </c>
      <c r="FB74" s="96">
        <f>SUM(EP74:FA74)</f>
        <v>5390.6500000000015</v>
      </c>
      <c r="FC74" s="96">
        <f>163.3+32.4</f>
        <v>195.70000000000002</v>
      </c>
      <c r="FD74" s="96">
        <f>96.6+243.98</f>
        <v>340.58</v>
      </c>
      <c r="FE74" s="96">
        <f>186.3+571.4</f>
        <v>757.7</v>
      </c>
      <c r="FF74" s="96">
        <f>165.6+44.6</f>
        <v>210.2</v>
      </c>
      <c r="FG74" s="96">
        <f>282.9+129.8</f>
        <v>412.7</v>
      </c>
      <c r="FH74" s="96">
        <f>531.3+66.9</f>
        <v>598.19999999999993</v>
      </c>
      <c r="FI74" s="96">
        <f>328.9+648.4</f>
        <v>977.3</v>
      </c>
      <c r="FJ74" s="96">
        <f>239.2+6.5</f>
        <v>245.7</v>
      </c>
      <c r="FK74" s="96">
        <f>227.7+329.65</f>
        <v>557.34999999999991</v>
      </c>
      <c r="FL74" s="96">
        <f>172.5+156.65</f>
        <v>329.15</v>
      </c>
      <c r="FM74" s="96">
        <f>177.1+532.85</f>
        <v>709.95</v>
      </c>
      <c r="FN74" s="96">
        <f>232.3+87.95</f>
        <v>320.25</v>
      </c>
      <c r="FO74" s="96">
        <f>SUM(FC74:FN74)</f>
        <v>5654.78</v>
      </c>
      <c r="FP74" s="96">
        <f>172.5+27.4</f>
        <v>199.9</v>
      </c>
      <c r="FQ74" s="96">
        <f>319.7+188.25</f>
        <v>507.95</v>
      </c>
      <c r="FR74" s="96">
        <v>282.89999999999998</v>
      </c>
      <c r="FS74" s="96">
        <f>223.1+15.95</f>
        <v>239.04999999999998</v>
      </c>
      <c r="FT74" s="96">
        <f>262.2+41.75</f>
        <v>303.95</v>
      </c>
      <c r="FU74" s="96">
        <f>335.8+32.05</f>
        <v>367.85</v>
      </c>
      <c r="FV74" s="96">
        <f>264.5+73</f>
        <v>337.5</v>
      </c>
      <c r="FW74" s="96">
        <v>303.60000000000002</v>
      </c>
      <c r="FX74" s="96">
        <f>266.8+65</f>
        <v>331.8</v>
      </c>
      <c r="FY74" s="96">
        <f>292.1+64.35</f>
        <v>356.45000000000005</v>
      </c>
      <c r="FZ74" s="96">
        <v>277.30099999999999</v>
      </c>
      <c r="GA74" s="96">
        <f>158.7+45.5</f>
        <v>204.2</v>
      </c>
      <c r="GB74" s="96">
        <f>SUM(FP74:GA74)</f>
        <v>3712.4509999999996</v>
      </c>
      <c r="GC74" s="180">
        <f>248.4+46.45</f>
        <v>294.85000000000002</v>
      </c>
      <c r="GD74" s="180">
        <v>359.70000000000005</v>
      </c>
      <c r="GE74" s="180">
        <f>308.2+52</f>
        <v>360.2</v>
      </c>
      <c r="GF74" s="96">
        <f>276+21.2</f>
        <v>297.2</v>
      </c>
      <c r="GG74" s="96">
        <f>234.6+135</f>
        <v>369.6</v>
      </c>
      <c r="GH74" s="96">
        <f>246.1+19.1</f>
        <v>265.2</v>
      </c>
      <c r="GI74" s="96">
        <f>259.9+40.8</f>
        <v>300.7</v>
      </c>
      <c r="GJ74" s="96">
        <f>253+525.55</f>
        <v>778.55</v>
      </c>
      <c r="GK74" s="96">
        <f>202.4+1007.45</f>
        <v>1209.8500000000001</v>
      </c>
      <c r="GL74" s="96">
        <f>250.7+784.15</f>
        <v>1034.8499999999999</v>
      </c>
      <c r="GM74" s="96">
        <f>211.6+512.75</f>
        <v>724.35</v>
      </c>
      <c r="GN74" s="96">
        <f>211.6+401.2</f>
        <v>612.79999999999995</v>
      </c>
      <c r="GO74" s="272">
        <f>SUM(GC74:GM74)</f>
        <v>5995.0500000000011</v>
      </c>
      <c r="GP74" s="272">
        <f>223.1+360.5</f>
        <v>583.6</v>
      </c>
      <c r="GQ74" s="96">
        <f>195.5+500.95</f>
        <v>696.45</v>
      </c>
      <c r="GR74" s="272">
        <f>257.6+260.05</f>
        <v>517.65000000000009</v>
      </c>
      <c r="GS74" s="272">
        <f>255.3+977</f>
        <v>1232.3</v>
      </c>
      <c r="GT74" s="180">
        <f>190.9+239.65</f>
        <v>430.55</v>
      </c>
      <c r="GU74" s="180">
        <f>193.2+259.1</f>
        <v>452.3</v>
      </c>
      <c r="GV74" s="272">
        <f>292.1+281.35</f>
        <v>573.45000000000005</v>
      </c>
      <c r="GW74" s="272">
        <f>165.6+15.8</f>
        <v>181.4</v>
      </c>
      <c r="GX74" s="272">
        <f>216.2+156.45</f>
        <v>372.65</v>
      </c>
      <c r="GY74" s="272">
        <f>236.9+159</f>
        <v>395.9</v>
      </c>
      <c r="GZ74" s="272">
        <f>179.4+5.05</f>
        <v>184.45000000000002</v>
      </c>
      <c r="HA74" s="272">
        <f>280.6+18.6</f>
        <v>299.20000000000005</v>
      </c>
      <c r="HB74" s="272">
        <v>236.9</v>
      </c>
      <c r="HC74" s="341">
        <f>331.2+376.8</f>
        <v>708</v>
      </c>
      <c r="HD74" s="345">
        <f>177.1+548.8</f>
        <v>725.9</v>
      </c>
      <c r="HE74" s="180">
        <f>361.1+563.45</f>
        <v>924.55000000000007</v>
      </c>
      <c r="HF74" s="180">
        <f>278.3+559.15</f>
        <v>837.45</v>
      </c>
      <c r="HG74" s="180">
        <f>151.8+1648.5+10.4+0.59+4+4.05</f>
        <v>1819.34</v>
      </c>
      <c r="HH74" s="180">
        <f>606.1+170.2</f>
        <v>776.3</v>
      </c>
      <c r="HI74" s="180">
        <f>197.8+1766.95</f>
        <v>1964.75</v>
      </c>
      <c r="HJ74" s="180">
        <f>372.35+1363.75+1.1</f>
        <v>1737.1999999999998</v>
      </c>
      <c r="HK74" s="180">
        <f>174.8+1820.05+0.55+0.53</f>
        <v>1995.9299999999998</v>
      </c>
      <c r="HL74" s="180">
        <f>1261.15+13.9+242.2</f>
        <v>1517.2500000000002</v>
      </c>
      <c r="HM74" s="180">
        <f>172.5+650.15+1.5</f>
        <v>824.15</v>
      </c>
      <c r="HN74" s="191">
        <f t="shared" ref="HN74" si="165">SUM(HB74:HM74)</f>
        <v>14067.72</v>
      </c>
      <c r="HO74" s="191">
        <v>1040.45</v>
      </c>
      <c r="HP74" s="191">
        <v>562.1</v>
      </c>
      <c r="HQ74" s="191">
        <v>843.65000000000009</v>
      </c>
      <c r="HR74" s="191">
        <v>564.6</v>
      </c>
      <c r="HS74" s="191">
        <v>1012.9250000000001</v>
      </c>
      <c r="HT74" s="191">
        <v>659.25</v>
      </c>
      <c r="HU74" s="410">
        <v>702.65</v>
      </c>
      <c r="HV74" s="388">
        <v>685.95</v>
      </c>
      <c r="HW74" s="388">
        <v>938.8</v>
      </c>
      <c r="HX74" s="388">
        <v>718.55</v>
      </c>
      <c r="HY74" s="404">
        <v>755.45</v>
      </c>
      <c r="HZ74" s="422">
        <v>632.4</v>
      </c>
      <c r="IA74" s="191">
        <v>674.65</v>
      </c>
      <c r="IB74" s="191">
        <v>779.52699999999993</v>
      </c>
      <c r="IC74" s="191">
        <v>1335.7500000000002</v>
      </c>
      <c r="ID74" s="191">
        <v>554.04999999999995</v>
      </c>
      <c r="IE74" s="191">
        <v>1198.3500000000001</v>
      </c>
      <c r="IF74" s="191">
        <v>1160.95</v>
      </c>
      <c r="IG74" s="410">
        <v>501.1</v>
      </c>
      <c r="IH74" s="410">
        <v>1505.3500000000001</v>
      </c>
      <c r="II74" s="410">
        <v>2007.4999999999998</v>
      </c>
      <c r="IJ74" s="410">
        <v>1723.05</v>
      </c>
      <c r="IK74" s="410">
        <v>1531.75</v>
      </c>
      <c r="IL74" s="410">
        <v>1064.2</v>
      </c>
      <c r="IM74" s="410">
        <v>1485.6</v>
      </c>
      <c r="IN74" s="410">
        <v>1361.9999999999998</v>
      </c>
      <c r="IO74" s="410">
        <v>1682.0500000000002</v>
      </c>
      <c r="IP74" s="410">
        <v>1040.3999999999999</v>
      </c>
      <c r="IQ74" s="410">
        <v>1306.5</v>
      </c>
      <c r="IR74" s="410">
        <v>1695.75</v>
      </c>
      <c r="IS74" s="410">
        <v>690.19999999999993</v>
      </c>
      <c r="IT74" s="410">
        <v>1336.85</v>
      </c>
      <c r="IU74" s="410">
        <v>706.8</v>
      </c>
      <c r="IV74" s="410">
        <v>1165</v>
      </c>
      <c r="IW74" s="410">
        <v>592.04999999999995</v>
      </c>
      <c r="IX74" s="410">
        <v>908.75</v>
      </c>
      <c r="IY74" s="410">
        <v>661.2</v>
      </c>
      <c r="IZ74" s="410">
        <v>527.40000000000009</v>
      </c>
      <c r="JA74" s="410"/>
      <c r="JB74" s="410"/>
      <c r="JC74" s="410"/>
      <c r="JD74" s="410"/>
      <c r="JE74" s="410"/>
      <c r="JF74" s="410"/>
      <c r="JG74" s="410"/>
      <c r="JH74" s="410"/>
      <c r="JI74" s="410"/>
      <c r="JJ74" s="410"/>
      <c r="JK74" s="410">
        <f t="shared" si="164"/>
        <v>2847.5999999999995</v>
      </c>
      <c r="JL74" s="410">
        <v>661.2</v>
      </c>
      <c r="JM74" s="9"/>
      <c r="JN74" s="9"/>
      <c r="JO74" s="9"/>
      <c r="JP74" s="9"/>
      <c r="JQ74" s="9"/>
      <c r="JR74" s="9"/>
      <c r="JS74" s="10"/>
      <c r="JT74" s="9"/>
      <c r="JU74" s="11"/>
    </row>
    <row r="75" spans="1:281" x14ac:dyDescent="0.25">
      <c r="A75" s="157"/>
      <c r="B75" s="167"/>
      <c r="C75" s="167"/>
      <c r="D75" s="167"/>
      <c r="E75" s="167"/>
      <c r="F75" s="158"/>
      <c r="G75" s="158"/>
      <c r="H75" s="158"/>
      <c r="I75" s="158"/>
      <c r="J75" s="158"/>
      <c r="K75" s="158"/>
      <c r="L75" s="158"/>
      <c r="M75" s="158"/>
      <c r="N75" s="128"/>
      <c r="O75" s="168"/>
      <c r="P75" s="169"/>
      <c r="Q75" s="168"/>
      <c r="R75" s="169"/>
      <c r="S75" s="168"/>
      <c r="T75" s="168"/>
      <c r="U75" s="145"/>
      <c r="V75" s="168"/>
      <c r="W75" s="168"/>
      <c r="X75" s="168"/>
      <c r="Y75" s="170"/>
      <c r="Z75" s="169"/>
      <c r="AA75" s="169"/>
      <c r="AB75" s="123"/>
      <c r="AC75" s="170"/>
      <c r="AD75" s="169"/>
      <c r="AE75" s="125"/>
      <c r="AF75" s="126"/>
      <c r="AG75" s="126"/>
      <c r="AH75" s="126"/>
      <c r="AI75" s="126"/>
      <c r="AJ75" s="126"/>
      <c r="AK75" s="126"/>
      <c r="AL75" s="126"/>
      <c r="AM75" s="126"/>
      <c r="AN75" s="169"/>
      <c r="AO75" s="128"/>
      <c r="AP75" s="170"/>
      <c r="AQ75" s="169"/>
      <c r="AR75" s="127"/>
      <c r="AS75" s="171"/>
      <c r="AT75" s="169"/>
      <c r="AU75" s="171"/>
      <c r="AV75" s="128"/>
      <c r="AW75" s="169"/>
      <c r="AX75" s="169"/>
      <c r="AY75" s="169"/>
      <c r="AZ75" s="69"/>
      <c r="BA75" s="69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71"/>
      <c r="BQ75" s="124"/>
      <c r="BR75" s="171"/>
      <c r="BS75" s="171"/>
      <c r="BT75" s="127"/>
      <c r="BU75" s="171"/>
      <c r="BV75" s="171"/>
      <c r="BW75" s="171"/>
      <c r="BX75" s="123"/>
      <c r="BY75" s="171"/>
      <c r="BZ75" s="171"/>
      <c r="CA75" s="171"/>
      <c r="CB75" s="130"/>
      <c r="CC75" s="169"/>
      <c r="CD75" s="169"/>
      <c r="CE75" s="171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1"/>
      <c r="DC75" s="132"/>
      <c r="DD75" s="131"/>
      <c r="DE75" s="95"/>
      <c r="DF75" s="95"/>
      <c r="DG75" s="95"/>
      <c r="DH75" s="100"/>
      <c r="DI75" s="100"/>
      <c r="DJ75" s="100"/>
      <c r="DK75" s="100"/>
      <c r="DL75" s="100"/>
      <c r="DM75" s="100"/>
      <c r="DN75" s="100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180"/>
      <c r="GD75" s="180"/>
      <c r="GE75" s="180"/>
      <c r="GF75" s="96"/>
      <c r="GG75" s="96"/>
      <c r="GH75" s="96"/>
      <c r="GI75" s="96"/>
      <c r="GJ75" s="96"/>
      <c r="GK75" s="96"/>
      <c r="GL75" s="96"/>
      <c r="GM75" s="96"/>
      <c r="GN75" s="96"/>
      <c r="GO75" s="314"/>
      <c r="GP75" s="272"/>
      <c r="GQ75" s="96"/>
      <c r="GR75" s="272"/>
      <c r="GS75" s="272"/>
      <c r="GT75" s="180"/>
      <c r="GU75" s="180"/>
      <c r="GV75" s="272"/>
      <c r="GW75" s="272"/>
      <c r="GX75" s="272"/>
      <c r="GY75" s="272"/>
      <c r="GZ75" s="272"/>
      <c r="HA75" s="272"/>
      <c r="HB75" s="272"/>
      <c r="HC75" s="272"/>
      <c r="HD75" s="346"/>
      <c r="HE75" s="346"/>
      <c r="HF75" s="346"/>
      <c r="HG75" s="346"/>
      <c r="HH75" s="346"/>
      <c r="HI75" s="346"/>
      <c r="HJ75" s="346"/>
      <c r="HK75" s="346"/>
      <c r="HL75" s="346"/>
      <c r="HM75" s="346"/>
      <c r="HN75" s="332"/>
      <c r="HO75" s="332"/>
      <c r="HP75" s="332"/>
      <c r="HQ75" s="332"/>
      <c r="HR75" s="332"/>
      <c r="HS75" s="332"/>
      <c r="HT75" s="332"/>
      <c r="HU75" s="432"/>
      <c r="HV75" s="378"/>
      <c r="HW75" s="378"/>
      <c r="HX75" s="378"/>
      <c r="HY75" s="378"/>
      <c r="HZ75" s="417"/>
      <c r="IA75" s="378"/>
      <c r="IB75" s="378"/>
      <c r="IC75" s="378"/>
      <c r="ID75" s="378"/>
      <c r="IE75" s="378"/>
      <c r="IF75" s="378"/>
      <c r="IG75" s="417"/>
      <c r="IH75" s="417"/>
      <c r="II75" s="417"/>
      <c r="IJ75" s="417"/>
      <c r="IK75" s="417"/>
      <c r="IL75" s="417"/>
      <c r="IM75" s="417"/>
      <c r="IN75" s="417"/>
      <c r="IO75" s="417"/>
      <c r="IP75" s="417"/>
      <c r="IQ75" s="417"/>
      <c r="IR75" s="417"/>
      <c r="IS75" s="417"/>
      <c r="IT75" s="417"/>
      <c r="IU75" s="417"/>
      <c r="IV75" s="417"/>
      <c r="IW75" s="417"/>
      <c r="IX75" s="417"/>
      <c r="IY75" s="417"/>
      <c r="IZ75" s="417"/>
      <c r="JA75" s="417"/>
      <c r="JB75" s="417"/>
      <c r="JC75" s="417"/>
      <c r="JD75" s="417"/>
      <c r="JE75" s="417"/>
      <c r="JF75" s="417"/>
      <c r="JG75" s="417"/>
      <c r="JH75" s="417"/>
      <c r="JI75" s="417"/>
      <c r="JJ75" s="417"/>
      <c r="JK75" s="417"/>
      <c r="JL75" s="417"/>
      <c r="JM75" s="10"/>
      <c r="JN75" s="21"/>
      <c r="JO75" s="10"/>
      <c r="JP75" s="10"/>
      <c r="JQ75" s="10"/>
      <c r="JR75" s="9"/>
      <c r="JS75" s="11"/>
      <c r="JT75" s="9"/>
      <c r="JU75" s="11"/>
    </row>
    <row r="76" spans="1:281" x14ac:dyDescent="0.25">
      <c r="A76" s="4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134"/>
      <c r="O76" s="136"/>
      <c r="P76" s="172" t="s">
        <v>27</v>
      </c>
      <c r="Q76" s="173" t="s">
        <v>27</v>
      </c>
      <c r="R76" s="172"/>
      <c r="S76" s="136"/>
      <c r="T76" s="136"/>
      <c r="U76" s="133"/>
      <c r="V76" s="136"/>
      <c r="W76" s="136"/>
      <c r="X76" s="136"/>
      <c r="Y76" s="139"/>
      <c r="Z76" s="135"/>
      <c r="AA76" s="135"/>
      <c r="AB76" s="134"/>
      <c r="AC76" s="139"/>
      <c r="AD76" s="135"/>
      <c r="AE76" s="174"/>
      <c r="AF76" s="142"/>
      <c r="AG76" s="142"/>
      <c r="AH76" s="174"/>
      <c r="AI76" s="174"/>
      <c r="AJ76" s="174"/>
      <c r="AK76" s="174"/>
      <c r="AL76" s="174"/>
      <c r="AM76" s="174"/>
      <c r="AN76" s="135"/>
      <c r="AO76" s="134"/>
      <c r="AP76" s="139"/>
      <c r="AQ76" s="135"/>
      <c r="AR76" s="141"/>
      <c r="AS76" s="135"/>
      <c r="AT76" s="135"/>
      <c r="AU76" s="135"/>
      <c r="AV76" s="134"/>
      <c r="AW76" s="135"/>
      <c r="AX76" s="135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35"/>
      <c r="BQ76" s="138"/>
      <c r="BR76" s="135"/>
      <c r="BS76" s="135"/>
      <c r="BT76" s="141"/>
      <c r="BU76" s="135"/>
      <c r="BV76" s="135"/>
      <c r="BW76" s="135"/>
      <c r="BX76" s="134"/>
      <c r="BY76" s="135"/>
      <c r="BZ76" s="135"/>
      <c r="CA76" s="143"/>
      <c r="CB76" s="175"/>
      <c r="CC76" s="135"/>
      <c r="CD76" s="135"/>
      <c r="CE76" s="139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39"/>
      <c r="DD76" s="175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298"/>
      <c r="GD76" s="298"/>
      <c r="GE76" s="298"/>
      <c r="GF76" s="135"/>
      <c r="GG76" s="135"/>
      <c r="GH76" s="135"/>
      <c r="GI76" s="135"/>
      <c r="GJ76" s="135"/>
      <c r="GK76" s="135"/>
      <c r="GL76" s="135"/>
      <c r="GM76" s="135"/>
      <c r="GN76" s="135"/>
      <c r="GO76" s="315"/>
      <c r="GP76" s="323"/>
      <c r="GQ76" s="135"/>
      <c r="GR76" s="323"/>
      <c r="GS76" s="323"/>
      <c r="GT76" s="298"/>
      <c r="GU76" s="298"/>
      <c r="GV76" s="323"/>
      <c r="GW76" s="323"/>
      <c r="GX76" s="323"/>
      <c r="GY76" s="323"/>
      <c r="GZ76" s="323"/>
      <c r="HA76" s="323"/>
      <c r="HB76" s="323"/>
      <c r="HC76" s="323"/>
      <c r="HD76" s="345"/>
      <c r="HE76" s="345"/>
      <c r="HF76" s="345"/>
      <c r="HG76" s="345"/>
      <c r="HH76" s="345"/>
      <c r="HI76" s="345"/>
      <c r="HJ76" s="345"/>
      <c r="HK76" s="345"/>
      <c r="HL76" s="345"/>
      <c r="HM76" s="345"/>
      <c r="HN76" s="401"/>
      <c r="HO76" s="339"/>
      <c r="HP76" s="339"/>
      <c r="HQ76" s="339"/>
      <c r="HR76" s="339"/>
      <c r="HS76" s="368"/>
      <c r="HT76" s="368"/>
      <c r="HU76" s="339"/>
      <c r="HV76" s="385"/>
      <c r="HW76" s="385"/>
      <c r="HX76" s="385"/>
      <c r="HY76" s="385"/>
      <c r="HZ76" s="423"/>
      <c r="IA76" s="380"/>
      <c r="IB76" s="380"/>
      <c r="IC76" s="380"/>
      <c r="ID76" s="380"/>
      <c r="IE76" s="380"/>
      <c r="IF76" s="380"/>
      <c r="IG76" s="440"/>
      <c r="IH76" s="440"/>
      <c r="II76" s="440"/>
      <c r="IJ76" s="440"/>
      <c r="IK76" s="440"/>
      <c r="IL76" s="440"/>
      <c r="IM76" s="440"/>
      <c r="IN76" s="440"/>
      <c r="IO76" s="440"/>
      <c r="IP76" s="440"/>
      <c r="IQ76" s="440"/>
      <c r="IR76" s="440"/>
      <c r="IS76" s="440"/>
      <c r="IT76" s="440"/>
      <c r="IU76" s="440"/>
      <c r="IV76" s="440"/>
      <c r="IW76" s="440"/>
      <c r="IX76" s="440"/>
      <c r="IY76" s="440"/>
      <c r="IZ76" s="440"/>
      <c r="JA76" s="440"/>
      <c r="JB76" s="440"/>
      <c r="JC76" s="440"/>
      <c r="JD76" s="440"/>
      <c r="JE76" s="440"/>
      <c r="JF76" s="440"/>
      <c r="JG76" s="440"/>
      <c r="JH76" s="440"/>
      <c r="JI76" s="440"/>
      <c r="JJ76" s="440"/>
      <c r="JK76" s="440"/>
      <c r="JL76" s="410"/>
      <c r="JM76" s="10"/>
      <c r="JN76" s="21"/>
      <c r="JO76" s="10"/>
      <c r="JP76" s="10"/>
      <c r="JQ76" s="10"/>
      <c r="JR76" s="9"/>
      <c r="JS76" s="11"/>
      <c r="JT76" s="18"/>
      <c r="JU76" s="11"/>
    </row>
    <row r="77" spans="1:281" x14ac:dyDescent="0.25">
      <c r="A77" s="219" t="s">
        <v>76</v>
      </c>
      <c r="B77" s="79">
        <f t="shared" ref="B77:AF77" si="166">SUM(B69:B74)</f>
        <v>33211</v>
      </c>
      <c r="C77" s="79">
        <f t="shared" si="166"/>
        <v>36276</v>
      </c>
      <c r="D77" s="79">
        <f t="shared" si="166"/>
        <v>38973</v>
      </c>
      <c r="E77" s="79">
        <f t="shared" si="166"/>
        <v>30622</v>
      </c>
      <c r="F77" s="79">
        <f t="shared" si="166"/>
        <v>38253</v>
      </c>
      <c r="G77" s="79">
        <f t="shared" si="166"/>
        <v>32982</v>
      </c>
      <c r="H77" s="79">
        <f t="shared" si="166"/>
        <v>32520</v>
      </c>
      <c r="I77" s="79">
        <f t="shared" si="166"/>
        <v>35130</v>
      </c>
      <c r="J77" s="79">
        <f t="shared" si="166"/>
        <v>24673</v>
      </c>
      <c r="K77" s="79">
        <f t="shared" si="166"/>
        <v>19426</v>
      </c>
      <c r="L77" s="79">
        <f t="shared" si="166"/>
        <v>20076</v>
      </c>
      <c r="M77" s="79">
        <f t="shared" si="166"/>
        <v>31560</v>
      </c>
      <c r="N77" s="93">
        <f t="shared" si="166"/>
        <v>15984</v>
      </c>
      <c r="O77" s="92">
        <f t="shared" si="166"/>
        <v>28118</v>
      </c>
      <c r="P77" s="93">
        <f t="shared" si="166"/>
        <v>28164</v>
      </c>
      <c r="Q77" s="92">
        <f t="shared" si="166"/>
        <v>28107</v>
      </c>
      <c r="R77" s="93">
        <f t="shared" si="166"/>
        <v>29122</v>
      </c>
      <c r="S77" s="93">
        <f t="shared" si="166"/>
        <v>2320</v>
      </c>
      <c r="T77" s="93">
        <f t="shared" si="166"/>
        <v>3845</v>
      </c>
      <c r="U77" s="93">
        <f t="shared" si="166"/>
        <v>3546</v>
      </c>
      <c r="V77" s="93">
        <f t="shared" si="166"/>
        <v>3235</v>
      </c>
      <c r="W77" s="93">
        <f t="shared" si="166"/>
        <v>2359</v>
      </c>
      <c r="X77" s="93">
        <f t="shared" si="166"/>
        <v>1181</v>
      </c>
      <c r="Y77" s="93">
        <f t="shared" si="166"/>
        <v>1444</v>
      </c>
      <c r="Z77" s="93">
        <f t="shared" si="166"/>
        <v>992</v>
      </c>
      <c r="AA77" s="93">
        <f t="shared" si="166"/>
        <v>2799</v>
      </c>
      <c r="AB77" s="93">
        <f t="shared" si="166"/>
        <v>3296</v>
      </c>
      <c r="AC77" s="93">
        <f t="shared" si="166"/>
        <v>1885</v>
      </c>
      <c r="AD77" s="93">
        <f t="shared" si="166"/>
        <v>2220</v>
      </c>
      <c r="AE77" s="93">
        <f t="shared" si="166"/>
        <v>29122</v>
      </c>
      <c r="AF77" s="93">
        <f t="shared" si="166"/>
        <v>20482</v>
      </c>
      <c r="AG77" s="93">
        <v>19625</v>
      </c>
      <c r="AH77" s="94">
        <v>27076</v>
      </c>
      <c r="AI77" s="94">
        <v>14618</v>
      </c>
      <c r="AJ77" s="94">
        <v>16477</v>
      </c>
      <c r="AK77" s="94">
        <v>10471</v>
      </c>
      <c r="AL77" s="94">
        <v>12559.532999999999</v>
      </c>
      <c r="AM77" s="94">
        <f t="shared" ref="AM77:AZ77" si="167">SUM(AM69:AM74)</f>
        <v>8524.68</v>
      </c>
      <c r="AN77" s="94">
        <f t="shared" si="167"/>
        <v>598.98200000000008</v>
      </c>
      <c r="AO77" s="94">
        <f t="shared" si="167"/>
        <v>785.93399999999997</v>
      </c>
      <c r="AP77" s="94">
        <f t="shared" si="167"/>
        <v>385.52600000000001</v>
      </c>
      <c r="AQ77" s="94">
        <f t="shared" si="167"/>
        <v>43.7</v>
      </c>
      <c r="AR77" s="94">
        <f t="shared" si="167"/>
        <v>57.400000000000006</v>
      </c>
      <c r="AS77" s="94">
        <f t="shared" si="167"/>
        <v>98.8</v>
      </c>
      <c r="AT77" s="94">
        <f t="shared" si="167"/>
        <v>144.30000000000001</v>
      </c>
      <c r="AU77" s="94">
        <f t="shared" si="167"/>
        <v>676.06399999999996</v>
      </c>
      <c r="AV77" s="94">
        <f t="shared" si="167"/>
        <v>1839.51</v>
      </c>
      <c r="AW77" s="94">
        <f t="shared" si="167"/>
        <v>819.45400000000006</v>
      </c>
      <c r="AX77" s="94">
        <f t="shared" si="167"/>
        <v>1801.2099999999998</v>
      </c>
      <c r="AY77" s="94">
        <f t="shared" si="167"/>
        <v>1273.8</v>
      </c>
      <c r="AZ77" s="94">
        <f t="shared" si="167"/>
        <v>7250.88</v>
      </c>
      <c r="BA77" s="94">
        <v>5835.04</v>
      </c>
      <c r="BB77" s="94">
        <v>8724.4290000000001</v>
      </c>
      <c r="BC77" s="94">
        <v>9507.1009999999987</v>
      </c>
      <c r="BD77" s="94">
        <v>16015.599</v>
      </c>
      <c r="BE77" s="94">
        <v>11072.131999999998</v>
      </c>
      <c r="BF77" s="277">
        <v>13777.436000000002</v>
      </c>
      <c r="BG77" s="277">
        <v>9612.3960000000006</v>
      </c>
      <c r="BH77" s="277">
        <v>7898.6129999999994</v>
      </c>
      <c r="BI77" s="277">
        <v>4217.9319999999998</v>
      </c>
      <c r="BJ77" s="277">
        <v>6607.8500000000013</v>
      </c>
      <c r="BK77" s="277">
        <v>5919.9</v>
      </c>
      <c r="BL77" s="277">
        <v>14067.72</v>
      </c>
      <c r="BM77" s="277">
        <v>9116.7749999999996</v>
      </c>
      <c r="BN77" s="277">
        <v>14373.227000000001</v>
      </c>
      <c r="BO77" s="277">
        <v>13971.949999999999</v>
      </c>
      <c r="BP77" s="94">
        <v>779.52699999999993</v>
      </c>
      <c r="BQ77" s="94">
        <v>1335.7500000000002</v>
      </c>
      <c r="BR77" s="94">
        <v>554.04999999999995</v>
      </c>
      <c r="BS77" s="94">
        <v>1198.3500000000001</v>
      </c>
      <c r="BT77" s="94">
        <v>1356.45</v>
      </c>
      <c r="BU77" s="94">
        <v>642.6</v>
      </c>
      <c r="BV77" s="94">
        <v>1505.3500000000001</v>
      </c>
      <c r="BW77" s="94">
        <v>2007.4999999999998</v>
      </c>
      <c r="BX77" s="94">
        <v>1723.05</v>
      </c>
      <c r="BY77" s="94">
        <v>1531.75</v>
      </c>
      <c r="BZ77" s="94">
        <v>1064.2</v>
      </c>
      <c r="CA77" s="94">
        <v>14373.227000000001</v>
      </c>
      <c r="CB77" s="94">
        <f t="shared" ref="CB77:CN77" si="168">CB69+CB72+CB74</f>
        <v>12492.877</v>
      </c>
      <c r="CC77" s="94">
        <f t="shared" si="168"/>
        <v>232.654</v>
      </c>
      <c r="CD77" s="94">
        <f t="shared" si="168"/>
        <v>232.654</v>
      </c>
      <c r="CE77" s="94">
        <f t="shared" si="168"/>
        <v>269.58</v>
      </c>
      <c r="CF77" s="94">
        <f t="shared" si="168"/>
        <v>286.54899999999998</v>
      </c>
      <c r="CG77" s="94">
        <f t="shared" si="168"/>
        <v>295.15300000000002</v>
      </c>
      <c r="CH77" s="94">
        <f t="shared" si="168"/>
        <v>32.207999999999998</v>
      </c>
      <c r="CI77" s="94">
        <f t="shared" si="168"/>
        <v>1112.6400000000001</v>
      </c>
      <c r="CJ77" s="94">
        <f t="shared" si="168"/>
        <v>1104.06</v>
      </c>
      <c r="CK77" s="94">
        <f t="shared" si="168"/>
        <v>1484.183</v>
      </c>
      <c r="CL77" s="94">
        <f t="shared" si="168"/>
        <v>1340.6200000000001</v>
      </c>
      <c r="CM77" s="94">
        <f t="shared" si="168"/>
        <v>970.18000000000006</v>
      </c>
      <c r="CN77" s="94">
        <f t="shared" si="168"/>
        <v>1362.9480000000001</v>
      </c>
      <c r="CO77" s="94">
        <f t="shared" ref="CO77:DT77" si="169">CO69+CO70+CO72+CO74</f>
        <v>8723.4290000000001</v>
      </c>
      <c r="CP77" s="94">
        <f t="shared" si="169"/>
        <v>422.20699999999999</v>
      </c>
      <c r="CQ77" s="94">
        <f t="shared" si="169"/>
        <v>310.89999999999998</v>
      </c>
      <c r="CR77" s="94">
        <f t="shared" si="169"/>
        <v>228.27699999999999</v>
      </c>
      <c r="CS77" s="94">
        <f t="shared" si="169"/>
        <v>215.72</v>
      </c>
      <c r="CT77" s="94">
        <f t="shared" si="169"/>
        <v>162.57499999999999</v>
      </c>
      <c r="CU77" s="94">
        <f t="shared" si="169"/>
        <v>166.822</v>
      </c>
      <c r="CV77" s="94">
        <f t="shared" si="169"/>
        <v>913.24</v>
      </c>
      <c r="CW77" s="94">
        <f t="shared" si="169"/>
        <v>1038.8699999999999</v>
      </c>
      <c r="CX77" s="94">
        <f t="shared" si="169"/>
        <v>2341.36</v>
      </c>
      <c r="CY77" s="94">
        <f t="shared" si="169"/>
        <v>1732.07</v>
      </c>
      <c r="CZ77" s="94">
        <f t="shared" si="169"/>
        <v>968.78899999999999</v>
      </c>
      <c r="DA77" s="94">
        <f t="shared" si="169"/>
        <v>1006.271</v>
      </c>
      <c r="DB77" s="94">
        <f t="shared" si="169"/>
        <v>9507.1009999999987</v>
      </c>
      <c r="DC77" s="94">
        <f t="shared" si="169"/>
        <v>304.62099999999998</v>
      </c>
      <c r="DD77" s="94">
        <f t="shared" si="169"/>
        <v>83.800000000000011</v>
      </c>
      <c r="DE77" s="94">
        <f t="shared" si="169"/>
        <v>234.97</v>
      </c>
      <c r="DF77" s="94">
        <f t="shared" si="169"/>
        <v>1067.7430000000002</v>
      </c>
      <c r="DG77" s="94">
        <f t="shared" si="169"/>
        <v>174</v>
      </c>
      <c r="DH77" s="94">
        <f t="shared" si="169"/>
        <v>648.09199999999998</v>
      </c>
      <c r="DI77" s="94">
        <f t="shared" si="169"/>
        <v>2342.2600000000002</v>
      </c>
      <c r="DJ77" s="94">
        <f t="shared" si="169"/>
        <v>2096.5699999999997</v>
      </c>
      <c r="DK77" s="94">
        <f t="shared" si="169"/>
        <v>2686.37</v>
      </c>
      <c r="DL77" s="94">
        <f t="shared" si="169"/>
        <v>2319.5250000000001</v>
      </c>
      <c r="DM77" s="94">
        <f t="shared" si="169"/>
        <v>1781.2040000000002</v>
      </c>
      <c r="DN77" s="94">
        <f t="shared" si="169"/>
        <v>2276.444</v>
      </c>
      <c r="DO77" s="94">
        <f t="shared" si="169"/>
        <v>11957.951000000001</v>
      </c>
      <c r="DP77" s="94">
        <f t="shared" si="169"/>
        <v>1438.7370000000001</v>
      </c>
      <c r="DQ77" s="94">
        <f t="shared" si="169"/>
        <v>616.52199999999993</v>
      </c>
      <c r="DR77" s="94">
        <f t="shared" si="169"/>
        <v>657.39200000000005</v>
      </c>
      <c r="DS77" s="94">
        <f t="shared" si="169"/>
        <v>434.95699999999999</v>
      </c>
      <c r="DT77" s="94">
        <f t="shared" si="169"/>
        <v>73.849999999999994</v>
      </c>
      <c r="DU77" s="94">
        <f t="shared" ref="DU77:EZ77" si="170">DU69+DU70+DU72+DU74</f>
        <v>111.6</v>
      </c>
      <c r="DV77" s="94">
        <f t="shared" si="170"/>
        <v>245.02</v>
      </c>
      <c r="DW77" s="94">
        <f t="shared" si="170"/>
        <v>451.87400000000002</v>
      </c>
      <c r="DX77" s="94">
        <f t="shared" si="170"/>
        <v>1535.31</v>
      </c>
      <c r="DY77" s="94">
        <f t="shared" si="170"/>
        <v>2366.0990000000002</v>
      </c>
      <c r="DZ77" s="94">
        <f t="shared" si="170"/>
        <v>1512.0029999999999</v>
      </c>
      <c r="EA77" s="94">
        <f t="shared" si="170"/>
        <v>1628.768</v>
      </c>
      <c r="EB77" s="94">
        <f t="shared" si="170"/>
        <v>11072.131999999998</v>
      </c>
      <c r="EC77" s="94">
        <f t="shared" si="170"/>
        <v>580.20600000000002</v>
      </c>
      <c r="ED77" s="94">
        <f t="shared" si="170"/>
        <v>673.80600000000004</v>
      </c>
      <c r="EE77" s="94">
        <f t="shared" si="170"/>
        <v>1368.9450000000002</v>
      </c>
      <c r="EF77" s="94">
        <f t="shared" si="170"/>
        <v>357.255</v>
      </c>
      <c r="EG77" s="94">
        <f t="shared" si="170"/>
        <v>691.09699999999998</v>
      </c>
      <c r="EH77" s="94">
        <f t="shared" si="170"/>
        <v>1131.1300000000001</v>
      </c>
      <c r="EI77" s="94">
        <f t="shared" si="170"/>
        <v>1302.43</v>
      </c>
      <c r="EJ77" s="94">
        <f t="shared" si="170"/>
        <v>1347.56</v>
      </c>
      <c r="EK77" s="94">
        <f t="shared" si="170"/>
        <v>1696.3379999999997</v>
      </c>
      <c r="EL77" s="94">
        <f t="shared" si="170"/>
        <v>2258.2829999999999</v>
      </c>
      <c r="EM77" s="94">
        <f t="shared" si="170"/>
        <v>1424.731</v>
      </c>
      <c r="EN77" s="94">
        <f t="shared" si="170"/>
        <v>945.65499999999997</v>
      </c>
      <c r="EO77" s="94">
        <f t="shared" si="170"/>
        <v>13777.436000000002</v>
      </c>
      <c r="EP77" s="94">
        <f t="shared" si="170"/>
        <v>831.00199999999995</v>
      </c>
      <c r="EQ77" s="94">
        <f t="shared" si="170"/>
        <v>609.46</v>
      </c>
      <c r="ER77" s="94">
        <f t="shared" si="170"/>
        <v>408.2</v>
      </c>
      <c r="ES77" s="94">
        <f t="shared" si="170"/>
        <v>427.65</v>
      </c>
      <c r="ET77" s="94">
        <f t="shared" si="170"/>
        <v>387.20000000000005</v>
      </c>
      <c r="EU77" s="94">
        <f t="shared" si="170"/>
        <v>845.06000000000006</v>
      </c>
      <c r="EV77" s="94">
        <f t="shared" si="170"/>
        <v>434.41</v>
      </c>
      <c r="EW77" s="94">
        <f t="shared" si="170"/>
        <v>798.2399999999999</v>
      </c>
      <c r="EX77" s="94">
        <f t="shared" si="170"/>
        <v>1166.4389999999999</v>
      </c>
      <c r="EY77" s="94">
        <f t="shared" si="170"/>
        <v>653.7059999999999</v>
      </c>
      <c r="EZ77" s="94">
        <f t="shared" si="170"/>
        <v>1955.4769999999999</v>
      </c>
      <c r="FA77" s="94">
        <f t="shared" ref="FA77:GF77" si="171">FA69+FA70+FA72+FA74</f>
        <v>1095.5519999999999</v>
      </c>
      <c r="FB77" s="94">
        <f t="shared" si="171"/>
        <v>9612.3960000000006</v>
      </c>
      <c r="FC77" s="94">
        <f t="shared" si="171"/>
        <v>553.404</v>
      </c>
      <c r="FD77" s="94">
        <f t="shared" si="171"/>
        <v>744.37099999999998</v>
      </c>
      <c r="FE77" s="94">
        <f t="shared" si="171"/>
        <v>858.36</v>
      </c>
      <c r="FF77" s="94">
        <f t="shared" si="171"/>
        <v>242.56699999999998</v>
      </c>
      <c r="FG77" s="94">
        <f t="shared" si="171"/>
        <v>491.87</v>
      </c>
      <c r="FH77" s="94">
        <f t="shared" si="171"/>
        <v>628.76099999999997</v>
      </c>
      <c r="FI77" s="94">
        <f t="shared" si="171"/>
        <v>1149.2849999999999</v>
      </c>
      <c r="FJ77" s="94">
        <f t="shared" si="171"/>
        <v>460.41999999999996</v>
      </c>
      <c r="FK77" s="94">
        <f t="shared" si="171"/>
        <v>850.14999999999986</v>
      </c>
      <c r="FL77" s="94">
        <f t="shared" si="171"/>
        <v>409.34499999999997</v>
      </c>
      <c r="FM77" s="94">
        <f t="shared" si="171"/>
        <v>1119.8700000000001</v>
      </c>
      <c r="FN77" s="94">
        <f t="shared" si="171"/>
        <v>390.21</v>
      </c>
      <c r="FO77" s="94">
        <f t="shared" si="171"/>
        <v>7898.6129999999994</v>
      </c>
      <c r="FP77" s="94">
        <f t="shared" si="171"/>
        <v>346.78800000000001</v>
      </c>
      <c r="FQ77" s="94">
        <f t="shared" si="171"/>
        <v>554.98099999999999</v>
      </c>
      <c r="FR77" s="94">
        <f t="shared" si="171"/>
        <v>476.88</v>
      </c>
      <c r="FS77" s="94">
        <f t="shared" si="171"/>
        <v>306.88199999999995</v>
      </c>
      <c r="FT77" s="94">
        <f t="shared" si="171"/>
        <v>303.95</v>
      </c>
      <c r="FU77" s="94">
        <f t="shared" si="171"/>
        <v>367.85</v>
      </c>
      <c r="FV77" s="94">
        <f t="shared" si="171"/>
        <v>337.5</v>
      </c>
      <c r="FW77" s="94">
        <f t="shared" si="171"/>
        <v>351.95000000000005</v>
      </c>
      <c r="FX77" s="94">
        <f t="shared" si="171"/>
        <v>331.8</v>
      </c>
      <c r="FY77" s="94">
        <f t="shared" si="171"/>
        <v>356.45000000000005</v>
      </c>
      <c r="FZ77" s="94">
        <f t="shared" si="171"/>
        <v>277.30099999999999</v>
      </c>
      <c r="GA77" s="94">
        <f t="shared" si="171"/>
        <v>205.6</v>
      </c>
      <c r="GB77" s="94">
        <f t="shared" si="171"/>
        <v>4217.9319999999998</v>
      </c>
      <c r="GC77" s="268">
        <f t="shared" si="171"/>
        <v>294.85000000000002</v>
      </c>
      <c r="GD77" s="268">
        <f t="shared" si="171"/>
        <v>359.70000000000005</v>
      </c>
      <c r="GE77" s="268">
        <f t="shared" si="171"/>
        <v>360.2</v>
      </c>
      <c r="GF77" s="94">
        <f t="shared" si="171"/>
        <v>297.2</v>
      </c>
      <c r="GG77" s="94">
        <f t="shared" ref="GG77:HA77" si="172">GG69+GG70+GG72+GG74</f>
        <v>369.6</v>
      </c>
      <c r="GH77" s="326">
        <f t="shared" si="172"/>
        <v>265.2</v>
      </c>
      <c r="GI77" s="277">
        <f t="shared" si="172"/>
        <v>300.7</v>
      </c>
      <c r="GJ77" s="277">
        <f t="shared" si="172"/>
        <v>778.55</v>
      </c>
      <c r="GK77" s="94">
        <f t="shared" si="172"/>
        <v>1209.8500000000001</v>
      </c>
      <c r="GL77" s="94">
        <f t="shared" si="172"/>
        <v>1034.8499999999999</v>
      </c>
      <c r="GM77" s="277">
        <f t="shared" si="172"/>
        <v>724.35</v>
      </c>
      <c r="GN77" s="277">
        <f t="shared" si="172"/>
        <v>612.79999999999995</v>
      </c>
      <c r="GO77" s="277">
        <f t="shared" si="172"/>
        <v>5995.0500000000011</v>
      </c>
      <c r="GP77" s="277">
        <f t="shared" si="172"/>
        <v>583.6</v>
      </c>
      <c r="GQ77" s="277">
        <f t="shared" si="172"/>
        <v>696.45</v>
      </c>
      <c r="GR77" s="277">
        <f t="shared" si="172"/>
        <v>517.65000000000009</v>
      </c>
      <c r="GS77" s="277">
        <f t="shared" si="172"/>
        <v>1232.3</v>
      </c>
      <c r="GT77" s="277">
        <f t="shared" si="172"/>
        <v>430.55</v>
      </c>
      <c r="GU77" s="277">
        <f t="shared" si="172"/>
        <v>452.3</v>
      </c>
      <c r="GV77" s="277">
        <f t="shared" si="172"/>
        <v>573.45000000000005</v>
      </c>
      <c r="GW77" s="277">
        <f t="shared" si="172"/>
        <v>181.4</v>
      </c>
      <c r="GX77" s="277">
        <f t="shared" si="172"/>
        <v>372.65</v>
      </c>
      <c r="GY77" s="277">
        <f t="shared" si="172"/>
        <v>395.9</v>
      </c>
      <c r="GZ77" s="277">
        <f t="shared" si="172"/>
        <v>184.45000000000002</v>
      </c>
      <c r="HA77" s="277">
        <f t="shared" si="172"/>
        <v>299.20000000000005</v>
      </c>
      <c r="HB77" s="277">
        <f t="shared" ref="HB77:HM77" si="173">SUM(HB69:HB74)</f>
        <v>236.9</v>
      </c>
      <c r="HC77" s="277">
        <f t="shared" si="173"/>
        <v>708</v>
      </c>
      <c r="HD77" s="277">
        <f t="shared" si="173"/>
        <v>725.9</v>
      </c>
      <c r="HE77" s="277">
        <f t="shared" si="173"/>
        <v>924.55000000000007</v>
      </c>
      <c r="HF77" s="359">
        <f t="shared" si="173"/>
        <v>837.45</v>
      </c>
      <c r="HG77" s="359">
        <f t="shared" si="173"/>
        <v>1819.34</v>
      </c>
      <c r="HH77" s="359">
        <f t="shared" si="173"/>
        <v>776.3</v>
      </c>
      <c r="HI77" s="359">
        <f t="shared" si="173"/>
        <v>1964.75</v>
      </c>
      <c r="HJ77" s="359">
        <f t="shared" si="173"/>
        <v>1737.1999999999998</v>
      </c>
      <c r="HK77" s="359">
        <f t="shared" si="173"/>
        <v>1995.9299999999998</v>
      </c>
      <c r="HL77" s="359">
        <f t="shared" si="173"/>
        <v>1517.2500000000002</v>
      </c>
      <c r="HM77" s="277">
        <f t="shared" si="173"/>
        <v>824.15</v>
      </c>
      <c r="HN77" s="333">
        <f>SUM(HB77:HM77)</f>
        <v>14067.72</v>
      </c>
      <c r="HO77" s="359">
        <v>1040.45</v>
      </c>
      <c r="HP77" s="359">
        <v>562.1</v>
      </c>
      <c r="HQ77" s="359">
        <v>843.65000000000009</v>
      </c>
      <c r="HR77" s="359">
        <v>564.6</v>
      </c>
      <c r="HS77" s="359">
        <v>1012.9250000000001</v>
      </c>
      <c r="HT77" s="359">
        <v>659.25</v>
      </c>
      <c r="HU77" s="435">
        <v>702.65</v>
      </c>
      <c r="HV77" s="381">
        <v>685.95</v>
      </c>
      <c r="HW77" s="381">
        <v>938.8</v>
      </c>
      <c r="HX77" s="333">
        <v>718.55</v>
      </c>
      <c r="HY77" s="405">
        <v>755.45</v>
      </c>
      <c r="HZ77" s="424">
        <v>632.4</v>
      </c>
      <c r="IA77" s="359">
        <v>674.65</v>
      </c>
      <c r="IB77" s="359">
        <v>779.52699999999993</v>
      </c>
      <c r="IC77" s="359">
        <v>1335.7500000000002</v>
      </c>
      <c r="ID77" s="333">
        <v>554.04999999999995</v>
      </c>
      <c r="IE77" s="333">
        <v>1198.3500000000001</v>
      </c>
      <c r="IF77" s="333">
        <f>IF69+IF70+IF71+IF72+IF73+IF74</f>
        <v>1356.45</v>
      </c>
      <c r="IG77" s="408">
        <f>IG69+IG70+IG71+IG72+IG73+IG74</f>
        <v>642.6</v>
      </c>
      <c r="IH77" s="408">
        <v>1505.3500000000001</v>
      </c>
      <c r="II77" s="408">
        <v>2007.4999999999998</v>
      </c>
      <c r="IJ77" s="408">
        <f t="shared" ref="IJ77:IZ77" si="174">IJ69+IJ70+IJ71+IJ72+IJ73+IJ74</f>
        <v>1723.05</v>
      </c>
      <c r="IK77" s="408">
        <f t="shared" si="174"/>
        <v>1531.75</v>
      </c>
      <c r="IL77" s="408">
        <f t="shared" si="174"/>
        <v>1064.2</v>
      </c>
      <c r="IM77" s="408">
        <f t="shared" si="174"/>
        <v>1485.6</v>
      </c>
      <c r="IN77" s="408">
        <f t="shared" si="174"/>
        <v>1361.9999999999998</v>
      </c>
      <c r="IO77" s="408">
        <f t="shared" si="174"/>
        <v>1682.0500000000002</v>
      </c>
      <c r="IP77" s="408">
        <f t="shared" si="174"/>
        <v>1040.3999999999999</v>
      </c>
      <c r="IQ77" s="408">
        <f t="shared" si="174"/>
        <v>1306.5</v>
      </c>
      <c r="IR77" s="408">
        <f t="shared" si="174"/>
        <v>1695.75</v>
      </c>
      <c r="IS77" s="408">
        <f t="shared" si="174"/>
        <v>690.19999999999993</v>
      </c>
      <c r="IT77" s="408">
        <f t="shared" si="174"/>
        <v>1336.85</v>
      </c>
      <c r="IU77" s="408">
        <f t="shared" si="174"/>
        <v>706.8</v>
      </c>
      <c r="IV77" s="408">
        <f t="shared" si="174"/>
        <v>1165</v>
      </c>
      <c r="IW77" s="408">
        <f t="shared" si="174"/>
        <v>592.04999999999995</v>
      </c>
      <c r="IX77" s="408">
        <f t="shared" si="174"/>
        <v>908.75</v>
      </c>
      <c r="IY77" s="408">
        <f t="shared" si="174"/>
        <v>661.2</v>
      </c>
      <c r="IZ77" s="408">
        <f t="shared" si="174"/>
        <v>527.40000000000009</v>
      </c>
      <c r="JA77" s="408"/>
      <c r="JB77" s="408"/>
      <c r="JC77" s="408"/>
      <c r="JD77" s="408"/>
      <c r="JE77" s="408"/>
      <c r="JF77" s="408"/>
      <c r="JG77" s="408"/>
      <c r="JH77" s="408"/>
      <c r="JI77" s="408"/>
      <c r="JJ77" s="408"/>
      <c r="JK77" s="408">
        <f>+JK69+JK70+JK71+JK72+JK73+JK74</f>
        <v>2847.5999999999995</v>
      </c>
      <c r="JL77" s="408">
        <f>+JL69+JL70+JL71+JL72+JL73+JL74</f>
        <v>661.2</v>
      </c>
      <c r="JM77" s="10"/>
      <c r="JN77" s="11"/>
      <c r="JO77" s="10"/>
      <c r="JP77" s="10"/>
      <c r="JQ77" s="10"/>
      <c r="JR77" s="11"/>
      <c r="JS77" s="10"/>
      <c r="JT77" s="10"/>
      <c r="JU77" s="10"/>
    </row>
    <row r="78" spans="1:281" x14ac:dyDescent="0.2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96"/>
      <c r="O78" s="96"/>
      <c r="P78" s="96"/>
      <c r="Q78" s="96"/>
      <c r="R78" s="96"/>
      <c r="S78" s="152"/>
      <c r="T78" s="152"/>
      <c r="U78" s="152"/>
      <c r="V78" s="152"/>
      <c r="W78" s="96"/>
      <c r="X78" s="140"/>
      <c r="Y78" s="96"/>
      <c r="Z78" s="140"/>
      <c r="AA78" s="140"/>
      <c r="AB78" s="140"/>
      <c r="AC78" s="96"/>
      <c r="AD78" s="140"/>
      <c r="AE78" s="94"/>
      <c r="AF78" s="93"/>
      <c r="AG78" s="93"/>
      <c r="AH78" s="93"/>
      <c r="AI78" s="93"/>
      <c r="AJ78" s="93"/>
      <c r="AK78" s="93"/>
      <c r="AL78" s="93"/>
      <c r="AM78" s="93"/>
      <c r="AN78" s="140"/>
      <c r="AO78" s="140"/>
      <c r="AP78" s="96"/>
      <c r="AQ78" s="96"/>
      <c r="AR78" s="101"/>
      <c r="AS78" s="96"/>
      <c r="AT78" s="140"/>
      <c r="AU78" s="140"/>
      <c r="AV78" s="140"/>
      <c r="AW78" s="96"/>
      <c r="AX78" s="140"/>
      <c r="AY78" s="140"/>
      <c r="AZ78" s="140"/>
      <c r="BA78" s="148"/>
      <c r="BB78" s="140"/>
      <c r="BC78" s="140"/>
      <c r="BD78" s="140" t="s">
        <v>25</v>
      </c>
      <c r="BE78" s="140" t="s">
        <v>25</v>
      </c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96"/>
      <c r="BR78" s="140"/>
      <c r="BS78" s="148"/>
      <c r="BT78" s="101"/>
      <c r="BU78" s="140"/>
      <c r="BV78" s="140"/>
      <c r="BW78" s="140"/>
      <c r="BX78" s="140"/>
      <c r="BY78" s="140"/>
      <c r="BZ78" s="140"/>
      <c r="CA78" s="140"/>
      <c r="CB78" s="95"/>
      <c r="CC78" s="140"/>
      <c r="CD78" s="140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176"/>
      <c r="DD78" s="132"/>
      <c r="DE78" s="132"/>
      <c r="DF78" s="132"/>
      <c r="DG78" s="96"/>
      <c r="DH78" s="96"/>
      <c r="DI78" s="96"/>
      <c r="DJ78" s="96"/>
      <c r="DK78" s="96"/>
      <c r="DL78" s="96"/>
      <c r="DM78" s="96"/>
      <c r="DN78" s="96"/>
      <c r="DO78" s="96" t="s">
        <v>25</v>
      </c>
      <c r="DP78" s="96" t="s">
        <v>25</v>
      </c>
      <c r="DQ78" s="96"/>
      <c r="DR78" s="96"/>
      <c r="DS78" s="96" t="s">
        <v>25</v>
      </c>
      <c r="DT78" s="96"/>
      <c r="DU78" s="96"/>
      <c r="DV78" s="96"/>
      <c r="DW78" s="96"/>
      <c r="DX78" s="96"/>
      <c r="DY78" s="96"/>
      <c r="DZ78" s="96"/>
      <c r="EA78" s="152"/>
      <c r="EB78" s="132" t="s">
        <v>25</v>
      </c>
      <c r="EC78" s="132" t="s">
        <v>25</v>
      </c>
      <c r="ED78" s="132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 t="s">
        <v>25</v>
      </c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180"/>
      <c r="GD78" s="180"/>
      <c r="GE78" s="180"/>
      <c r="GF78" s="96"/>
      <c r="GG78" s="96"/>
      <c r="GH78" s="96"/>
      <c r="GI78" s="96"/>
      <c r="GJ78" s="96"/>
      <c r="GK78" s="96"/>
      <c r="GL78" s="96"/>
      <c r="GM78" s="96"/>
      <c r="GN78" s="96"/>
      <c r="GO78" s="272"/>
      <c r="GP78" s="272"/>
      <c r="GQ78" s="96"/>
      <c r="GR78" s="272"/>
      <c r="GS78" s="272"/>
      <c r="GT78" s="180"/>
      <c r="GU78" s="180"/>
      <c r="GV78" s="272"/>
      <c r="GW78" s="272"/>
      <c r="GX78" s="272"/>
      <c r="GY78" s="272"/>
      <c r="GZ78" s="272"/>
      <c r="HA78" s="272"/>
      <c r="HB78" s="272"/>
      <c r="HC78" s="272"/>
      <c r="HD78" s="180"/>
      <c r="HE78" s="180"/>
      <c r="HF78" s="180"/>
      <c r="HG78" s="180"/>
      <c r="HH78" s="180"/>
      <c r="HI78" s="180"/>
      <c r="HJ78" s="180"/>
      <c r="HK78" s="180"/>
      <c r="HL78" s="180"/>
      <c r="HM78" s="180"/>
      <c r="HN78" s="402"/>
      <c r="HO78" s="340"/>
      <c r="HP78" s="340"/>
      <c r="HQ78" s="340"/>
      <c r="HR78" s="340"/>
      <c r="HS78" s="369"/>
      <c r="HT78" s="369"/>
      <c r="HU78" s="340"/>
      <c r="HV78" s="386"/>
      <c r="HW78" s="386"/>
      <c r="HX78" s="386"/>
      <c r="HY78" s="386"/>
      <c r="HZ78" s="425"/>
      <c r="IA78" s="382"/>
      <c r="IB78" s="382"/>
      <c r="IC78" s="382"/>
      <c r="ID78" s="382"/>
      <c r="IE78" s="382"/>
      <c r="IF78" s="382"/>
      <c r="IG78" s="441"/>
      <c r="IH78" s="441"/>
      <c r="II78" s="441"/>
      <c r="IJ78" s="441"/>
      <c r="IK78" s="441"/>
      <c r="IL78" s="441"/>
      <c r="IM78" s="441"/>
      <c r="IN78" s="441"/>
      <c r="IO78" s="441"/>
      <c r="IP78" s="441"/>
      <c r="IQ78" s="441"/>
      <c r="IR78" s="441"/>
      <c r="IS78" s="441"/>
      <c r="IT78" s="441"/>
      <c r="IU78" s="441"/>
      <c r="IV78" s="441"/>
      <c r="IW78" s="441"/>
      <c r="IX78" s="441"/>
      <c r="IY78" s="441"/>
      <c r="IZ78" s="441"/>
      <c r="JA78" s="441"/>
      <c r="JB78" s="441"/>
      <c r="JC78" s="441"/>
      <c r="JD78" s="441"/>
      <c r="JE78" s="441"/>
      <c r="JF78" s="441"/>
      <c r="JG78" s="441"/>
      <c r="JH78" s="441"/>
      <c r="JI78" s="441"/>
      <c r="JJ78" s="441"/>
      <c r="JK78" s="441"/>
      <c r="JL78" s="441"/>
      <c r="JM78" s="10"/>
      <c r="JN78" s="10"/>
      <c r="JO78" s="10"/>
      <c r="JP78" s="10"/>
      <c r="JQ78" s="10"/>
      <c r="JR78" s="9"/>
      <c r="JS78" s="11"/>
      <c r="JT78" s="9"/>
      <c r="JU78" s="9"/>
    </row>
    <row r="79" spans="1:281" x14ac:dyDescent="0.25">
      <c r="A79" s="54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31"/>
      <c r="CR79" s="28"/>
      <c r="CS79" s="28"/>
      <c r="CT79" s="28"/>
      <c r="CU79" s="28"/>
      <c r="CV79" s="28"/>
      <c r="CW79" s="28"/>
      <c r="CX79" s="28"/>
      <c r="CY79" s="28"/>
      <c r="CZ79" s="28"/>
      <c r="DA79" s="31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91"/>
      <c r="GD79" s="291"/>
      <c r="GE79" s="291"/>
      <c r="GF79" s="28"/>
      <c r="GG79" s="28"/>
      <c r="GH79" s="28"/>
      <c r="GI79" s="28"/>
      <c r="GJ79" s="28"/>
      <c r="GK79" s="28"/>
      <c r="GL79" s="28"/>
      <c r="GM79" s="28"/>
      <c r="GN79" s="28"/>
      <c r="GO79" s="319"/>
      <c r="GP79" s="319"/>
      <c r="GQ79" s="28"/>
      <c r="GR79" s="319"/>
      <c r="GS79" s="319"/>
      <c r="GT79" s="291"/>
      <c r="GU79" s="291"/>
      <c r="GV79" s="319"/>
      <c r="GW79" s="319"/>
      <c r="GX79" s="319"/>
      <c r="GY79" s="319"/>
      <c r="GZ79" s="319"/>
      <c r="HA79" s="319"/>
      <c r="HB79" s="319"/>
      <c r="HC79" s="319"/>
      <c r="HD79" s="291"/>
      <c r="HE79" s="291"/>
      <c r="HF79" s="291"/>
      <c r="HG79" s="291"/>
      <c r="HH79" s="291"/>
      <c r="HI79" s="291"/>
      <c r="HJ79" s="291"/>
      <c r="HK79" s="291"/>
      <c r="HL79" s="291"/>
      <c r="HM79" s="291"/>
      <c r="HN79" s="291"/>
      <c r="HO79" s="319"/>
      <c r="HP79" s="319"/>
      <c r="HQ79" s="320"/>
      <c r="HR79" s="320"/>
      <c r="HS79" s="320"/>
      <c r="HT79" s="320"/>
      <c r="HU79" s="320"/>
      <c r="HV79" s="320"/>
      <c r="HW79" s="320"/>
      <c r="HX79" s="320"/>
      <c r="HY79" s="259"/>
      <c r="HZ79" s="320"/>
      <c r="IA79" s="320"/>
      <c r="IB79" s="320"/>
      <c r="IC79" s="320"/>
      <c r="ID79" s="320"/>
      <c r="IE79" s="320"/>
      <c r="IF79" s="320"/>
      <c r="IG79" s="320"/>
      <c r="IH79" s="320"/>
      <c r="II79" s="320"/>
      <c r="IJ79" s="320"/>
      <c r="IK79" s="320"/>
      <c r="IL79" s="320"/>
      <c r="IM79" s="320"/>
      <c r="IN79" s="320"/>
      <c r="IO79" s="320"/>
      <c r="IP79" s="320"/>
      <c r="IQ79" s="320"/>
      <c r="IR79" s="320"/>
      <c r="IS79" s="320"/>
      <c r="IT79" s="320"/>
      <c r="IU79" s="320"/>
      <c r="IV79" s="320"/>
      <c r="IW79" s="320"/>
      <c r="IX79" s="320"/>
      <c r="IY79" s="320"/>
      <c r="IZ79" s="320"/>
      <c r="JA79" s="320"/>
      <c r="JB79" s="320"/>
      <c r="JC79" s="320"/>
      <c r="JD79" s="320"/>
      <c r="JE79" s="320"/>
      <c r="JF79" s="320"/>
      <c r="JG79" s="320"/>
      <c r="JH79" s="320"/>
      <c r="JI79" s="320"/>
      <c r="JJ79" s="320"/>
      <c r="JK79" s="320"/>
      <c r="JL79" s="365"/>
      <c r="JM79" s="10"/>
      <c r="JN79" s="10"/>
      <c r="JO79" s="10"/>
      <c r="JP79" s="10"/>
      <c r="JQ79" s="10"/>
      <c r="JR79" s="9"/>
      <c r="JS79" s="11"/>
      <c r="JT79" s="22"/>
      <c r="JU79" s="22"/>
    </row>
    <row r="80" spans="1:281" x14ac:dyDescent="0.25">
      <c r="A80" s="220" t="s">
        <v>89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41"/>
      <c r="CR80" s="34"/>
      <c r="CS80" s="34"/>
      <c r="CT80" s="34"/>
      <c r="CU80" s="34"/>
      <c r="CV80" s="34"/>
      <c r="CW80" s="34"/>
      <c r="CX80" s="34"/>
      <c r="CY80" s="34"/>
      <c r="CZ80" s="34"/>
      <c r="DA80" s="41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259"/>
      <c r="GD80" s="259"/>
      <c r="GE80" s="259"/>
      <c r="GF80" s="34"/>
      <c r="GG80" s="34"/>
      <c r="GH80" s="34"/>
      <c r="GI80" s="34"/>
      <c r="GJ80" s="34"/>
      <c r="GK80" s="34"/>
      <c r="GL80" s="34"/>
      <c r="GM80" s="34"/>
      <c r="GN80" s="34"/>
      <c r="GO80" s="320"/>
      <c r="GP80" s="320"/>
      <c r="GQ80" s="259"/>
      <c r="GR80" s="320"/>
      <c r="GS80" s="320"/>
      <c r="GT80" s="259"/>
      <c r="GU80" s="259"/>
      <c r="GV80" s="320"/>
      <c r="GW80" s="320"/>
      <c r="GX80" s="320"/>
      <c r="GY80" s="320"/>
      <c r="GZ80" s="320"/>
      <c r="HA80" s="320"/>
      <c r="HB80" s="320"/>
      <c r="HC80" s="320"/>
      <c r="HD80" s="259"/>
      <c r="HE80" s="259"/>
      <c r="HF80" s="259"/>
      <c r="HG80" s="259"/>
      <c r="HH80" s="259"/>
      <c r="HI80" s="259"/>
      <c r="HJ80" s="259"/>
      <c r="HK80" s="259"/>
      <c r="HL80" s="259"/>
      <c r="HM80" s="259"/>
      <c r="HN80" s="259"/>
      <c r="HO80" s="320"/>
      <c r="HP80" s="320"/>
      <c r="HQ80" s="320"/>
      <c r="HR80" s="320"/>
      <c r="HS80" s="320"/>
      <c r="HT80" s="320"/>
      <c r="HU80" s="320"/>
      <c r="HV80" s="320"/>
      <c r="HW80" s="320"/>
      <c r="HX80" s="320"/>
      <c r="HY80" s="259"/>
      <c r="HZ80" s="320"/>
      <c r="IA80" s="320"/>
      <c r="IB80" s="320"/>
      <c r="IC80" s="320"/>
      <c r="ID80" s="320"/>
      <c r="IE80" s="320"/>
      <c r="IF80" s="320"/>
      <c r="IG80" s="320"/>
      <c r="IH80" s="320"/>
      <c r="II80" s="320"/>
      <c r="IJ80" s="320"/>
      <c r="IK80" s="320"/>
      <c r="IL80" s="320"/>
      <c r="IM80" s="320"/>
      <c r="IN80" s="320"/>
      <c r="IO80" s="320"/>
      <c r="IP80" s="320"/>
      <c r="IQ80" s="320"/>
      <c r="IR80" s="320"/>
      <c r="IS80" s="320"/>
      <c r="IT80" s="320"/>
      <c r="IU80" s="320"/>
      <c r="IV80" s="320"/>
      <c r="IW80" s="320"/>
      <c r="IX80" s="320"/>
      <c r="IY80" s="320"/>
      <c r="IZ80" s="320"/>
      <c r="JA80" s="320"/>
      <c r="JB80" s="320"/>
      <c r="JC80" s="320"/>
      <c r="JD80" s="320"/>
      <c r="JE80" s="320"/>
      <c r="JF80" s="320"/>
      <c r="JG80" s="320"/>
      <c r="JH80" s="320"/>
      <c r="JI80" s="320"/>
      <c r="JJ80" s="320"/>
      <c r="JK80" s="320"/>
      <c r="JL80" s="365"/>
      <c r="JM80" s="9"/>
      <c r="JN80" s="11"/>
      <c r="JO80" s="11"/>
      <c r="JP80" s="11"/>
      <c r="JQ80" s="11"/>
      <c r="JR80" s="9"/>
      <c r="JS80" s="10"/>
      <c r="JT80" s="1"/>
      <c r="JU80" s="1"/>
    </row>
    <row r="81" spans="1:282" x14ac:dyDescent="0.25">
      <c r="A81" s="17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03"/>
      <c r="HO81" s="44"/>
      <c r="HP81" s="44"/>
      <c r="HQ81" s="44"/>
      <c r="HR81" s="44"/>
      <c r="HS81" s="44"/>
      <c r="HT81" s="44"/>
      <c r="HU81" s="426"/>
      <c r="HV81" s="44"/>
      <c r="HW81" s="44"/>
      <c r="HX81" s="44"/>
      <c r="HY81" s="403"/>
      <c r="HZ81" s="426"/>
      <c r="IA81" s="426"/>
      <c r="IB81" s="426"/>
      <c r="IC81" s="426"/>
      <c r="ID81" s="426"/>
      <c r="IE81" s="426"/>
      <c r="IF81" s="426"/>
      <c r="IG81" s="426"/>
      <c r="IH81" s="426"/>
      <c r="II81" s="426"/>
      <c r="IJ81" s="426"/>
      <c r="IK81" s="426"/>
      <c r="IL81" s="426"/>
      <c r="IM81" s="426"/>
      <c r="IN81" s="426"/>
      <c r="IO81" s="426"/>
      <c r="IP81" s="426"/>
      <c r="IQ81" s="426"/>
      <c r="IR81" s="426"/>
      <c r="IS81" s="426"/>
      <c r="IT81" s="426"/>
      <c r="IU81" s="426"/>
      <c r="IV81" s="426"/>
      <c r="IW81" s="426"/>
      <c r="IX81" s="426"/>
      <c r="IY81" s="426"/>
      <c r="IZ81" s="426"/>
      <c r="JA81" s="426"/>
      <c r="JB81" s="426"/>
      <c r="JC81" s="426"/>
      <c r="JD81" s="426"/>
      <c r="JE81" s="426"/>
      <c r="JF81" s="426"/>
      <c r="JG81" s="426"/>
      <c r="JH81" s="426"/>
      <c r="JI81" s="426"/>
      <c r="JJ81" s="426"/>
      <c r="JK81" s="426"/>
      <c r="JL81" s="366"/>
      <c r="JM81" s="10"/>
      <c r="JN81" s="17"/>
      <c r="JO81" s="10"/>
      <c r="JP81" s="10"/>
      <c r="JQ81" s="10"/>
      <c r="JR81" s="9"/>
      <c r="JS81" s="11"/>
      <c r="JT81" s="1"/>
      <c r="JU81" s="1"/>
    </row>
    <row r="82" spans="1:282" x14ac:dyDescent="0.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28"/>
      <c r="DD82" s="28"/>
      <c r="DE82" s="28"/>
      <c r="DF82" s="28"/>
      <c r="DG82" s="28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259"/>
      <c r="GD82" s="259"/>
      <c r="GE82" s="259"/>
      <c r="GF82" s="34"/>
      <c r="GG82" s="34"/>
      <c r="GH82" s="34"/>
      <c r="GI82" s="34"/>
      <c r="GJ82" s="34"/>
      <c r="GK82" s="34"/>
      <c r="GL82" s="34"/>
      <c r="GM82" s="34"/>
      <c r="GN82" s="34"/>
      <c r="GO82" s="320"/>
      <c r="GP82" s="320"/>
      <c r="GQ82" s="34"/>
      <c r="GR82" s="320"/>
      <c r="GS82" s="320"/>
      <c r="GT82" s="259"/>
      <c r="GU82" s="259"/>
      <c r="GV82" s="320"/>
      <c r="GW82" s="320"/>
      <c r="GX82" s="320"/>
      <c r="GY82" s="320"/>
      <c r="GZ82" s="320"/>
      <c r="HA82" s="320"/>
      <c r="HB82" s="320"/>
      <c r="HC82" s="320"/>
      <c r="HD82" s="259"/>
      <c r="HE82" s="259"/>
      <c r="HF82" s="259"/>
      <c r="HG82" s="259"/>
      <c r="HH82" s="259"/>
      <c r="HI82" s="259"/>
      <c r="HJ82" s="259"/>
      <c r="HK82" s="259"/>
      <c r="HL82" s="259"/>
      <c r="HM82" s="259"/>
      <c r="HN82" s="259"/>
      <c r="HO82" s="320"/>
      <c r="HP82" s="320"/>
      <c r="HQ82" s="320"/>
      <c r="HR82" s="320"/>
      <c r="HS82" s="361"/>
      <c r="HT82" s="361"/>
      <c r="HU82" s="320"/>
      <c r="HV82" s="361"/>
      <c r="HW82" s="361"/>
      <c r="HX82" s="361"/>
      <c r="HY82" s="259"/>
      <c r="HZ82" s="320"/>
      <c r="IA82" s="259"/>
      <c r="IB82" s="259"/>
      <c r="IC82" s="259"/>
      <c r="ID82" s="259"/>
      <c r="IE82" s="259"/>
      <c r="IF82" s="259"/>
      <c r="IG82" s="320"/>
      <c r="IH82" s="320"/>
      <c r="II82" s="320"/>
      <c r="IJ82" s="320"/>
      <c r="IK82" s="320"/>
      <c r="IL82" s="320"/>
      <c r="IM82" s="320"/>
      <c r="IN82" s="320"/>
      <c r="IO82" s="320"/>
      <c r="IP82" s="320"/>
      <c r="IQ82" s="320"/>
      <c r="IR82" s="320"/>
      <c r="IS82" s="320"/>
      <c r="IT82" s="320"/>
      <c r="IU82" s="320"/>
      <c r="IV82" s="320"/>
      <c r="IW82" s="320"/>
      <c r="IX82" s="320"/>
      <c r="IY82" s="320"/>
      <c r="IZ82" s="320"/>
      <c r="JA82" s="320"/>
      <c r="JB82" s="320"/>
      <c r="JC82" s="320"/>
      <c r="JD82" s="320"/>
      <c r="JE82" s="320"/>
      <c r="JF82" s="320"/>
      <c r="JG82" s="320"/>
      <c r="JH82" s="320"/>
      <c r="JI82" s="320"/>
      <c r="JJ82" s="320"/>
      <c r="JK82" s="320"/>
      <c r="JL82" s="259"/>
      <c r="JM82" s="11"/>
      <c r="JN82" s="11"/>
      <c r="JO82" s="11"/>
      <c r="JP82" s="11"/>
      <c r="JQ82" s="11"/>
      <c r="JR82" s="11"/>
      <c r="JS82" s="11"/>
      <c r="JT82" s="10"/>
      <c r="JU82" s="1"/>
      <c r="JV82" s="1"/>
    </row>
    <row r="83" spans="1:282" x14ac:dyDescent="0.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116"/>
      <c r="DP83" s="116"/>
      <c r="DQ83" s="116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16"/>
      <c r="FM83" s="116"/>
      <c r="FN83" s="116"/>
      <c r="FO83" s="116"/>
      <c r="FP83" s="116"/>
      <c r="FQ83" s="116"/>
      <c r="FR83" s="116"/>
      <c r="FS83" s="116"/>
      <c r="FT83" s="116"/>
      <c r="FU83" s="116"/>
      <c r="FV83" s="116"/>
      <c r="FW83" s="116"/>
      <c r="FX83" s="116"/>
      <c r="FY83" s="116"/>
      <c r="FZ83" s="116"/>
      <c r="GA83" s="116"/>
      <c r="GB83" s="116"/>
      <c r="GC83" s="301"/>
      <c r="GD83" s="301"/>
      <c r="GE83" s="301"/>
      <c r="GF83" s="116"/>
      <c r="GG83" s="116"/>
      <c r="GH83" s="116"/>
      <c r="GI83" s="116"/>
      <c r="GJ83" s="116"/>
      <c r="GK83" s="116"/>
      <c r="GL83" s="116"/>
      <c r="GM83" s="116"/>
      <c r="GN83" s="116"/>
      <c r="GO83" s="321"/>
      <c r="GP83" s="321"/>
      <c r="GQ83" s="116"/>
      <c r="GR83" s="321"/>
      <c r="GS83" s="327"/>
      <c r="GT83" s="301"/>
      <c r="GU83" s="301"/>
      <c r="GV83" s="321"/>
      <c r="GW83" s="321"/>
      <c r="GX83" s="321"/>
      <c r="GY83" s="321"/>
      <c r="GZ83" s="321"/>
      <c r="HA83" s="321"/>
      <c r="HB83" s="321"/>
      <c r="HC83" s="321"/>
      <c r="HD83" s="301"/>
      <c r="HE83" s="301"/>
      <c r="HF83" s="301"/>
      <c r="HG83" s="301"/>
      <c r="HH83" s="301"/>
      <c r="HI83" s="301"/>
      <c r="HJ83" s="301"/>
      <c r="HK83" s="301"/>
      <c r="HL83" s="301"/>
      <c r="HM83" s="301"/>
      <c r="HN83" s="301"/>
      <c r="HO83" s="321"/>
      <c r="HP83" s="321"/>
      <c r="HQ83" s="321"/>
      <c r="HR83" s="321"/>
      <c r="HS83" s="362"/>
      <c r="HT83" s="362"/>
      <c r="HU83" s="321"/>
      <c r="HV83" s="362"/>
      <c r="HW83" s="362"/>
      <c r="HX83" s="362"/>
      <c r="HY83" s="301"/>
      <c r="HZ83" s="321"/>
      <c r="IA83" s="301"/>
      <c r="IB83" s="301"/>
      <c r="IC83" s="301"/>
      <c r="ID83" s="301"/>
      <c r="IE83" s="301"/>
      <c r="IF83" s="301"/>
      <c r="IG83" s="321"/>
      <c r="IH83" s="321"/>
      <c r="II83" s="321"/>
      <c r="IJ83" s="321"/>
      <c r="IK83" s="321"/>
      <c r="IL83" s="321"/>
      <c r="IM83" s="321"/>
      <c r="IN83" s="321"/>
      <c r="IO83" s="321"/>
      <c r="IP83" s="321"/>
      <c r="IQ83" s="321"/>
      <c r="IR83" s="321"/>
      <c r="IS83" s="321"/>
      <c r="IT83" s="321"/>
      <c r="IU83" s="321"/>
      <c r="IV83" s="321"/>
      <c r="IW83" s="321"/>
      <c r="IX83" s="321"/>
      <c r="IY83" s="321"/>
      <c r="IZ83" s="321"/>
      <c r="JA83" s="321"/>
      <c r="JB83" s="321"/>
      <c r="JC83" s="321"/>
      <c r="JD83" s="321"/>
      <c r="JE83" s="321"/>
      <c r="JF83" s="321"/>
      <c r="JG83" s="321"/>
      <c r="JH83" s="321"/>
      <c r="JI83" s="321"/>
      <c r="JJ83" s="321"/>
      <c r="JK83" s="321"/>
      <c r="JL83" s="301"/>
      <c r="JM83" s="11"/>
      <c r="JN83" s="11"/>
      <c r="JO83" s="11"/>
      <c r="JP83" s="11"/>
      <c r="JQ83" s="11"/>
      <c r="JR83" s="11"/>
      <c r="JS83" s="11"/>
      <c r="JT83" s="11"/>
    </row>
    <row r="84" spans="1:282" x14ac:dyDescent="0.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116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16"/>
      <c r="FM84" s="116"/>
      <c r="FN84" s="116"/>
      <c r="FO84" s="116"/>
      <c r="FP84" s="116"/>
      <c r="FQ84" s="116"/>
      <c r="FR84" s="116"/>
      <c r="FS84" s="116"/>
      <c r="FT84" s="116"/>
      <c r="FU84" s="116"/>
      <c r="FV84" s="116"/>
      <c r="FW84" s="116"/>
      <c r="FX84" s="116"/>
      <c r="FY84" s="116"/>
      <c r="FZ84" s="116"/>
      <c r="GA84" s="116"/>
      <c r="GB84" s="116"/>
      <c r="GC84" s="301"/>
      <c r="GD84" s="301"/>
      <c r="GE84" s="301"/>
      <c r="GF84" s="116"/>
      <c r="GG84" s="116"/>
      <c r="GH84" s="116"/>
      <c r="GI84" s="116"/>
      <c r="GJ84" s="116"/>
      <c r="GK84" s="116"/>
      <c r="GL84" s="116"/>
      <c r="GM84" s="116"/>
      <c r="GN84" s="116"/>
      <c r="GO84" s="321"/>
      <c r="GP84" s="321"/>
      <c r="GQ84" s="116"/>
      <c r="GR84" s="321"/>
      <c r="GS84" s="327"/>
      <c r="GT84" s="301"/>
      <c r="GU84" s="301"/>
      <c r="GV84" s="321"/>
      <c r="GW84" s="321"/>
      <c r="GX84" s="321"/>
      <c r="GY84" s="321"/>
      <c r="GZ84" s="321"/>
      <c r="HA84" s="321"/>
      <c r="HB84" s="321"/>
      <c r="HC84" s="321"/>
      <c r="HD84" s="301"/>
      <c r="HE84" s="301"/>
      <c r="HF84" s="301"/>
      <c r="HG84" s="301"/>
      <c r="HH84" s="301"/>
      <c r="HI84" s="301"/>
      <c r="HJ84" s="301"/>
      <c r="HK84" s="301"/>
      <c r="HL84" s="301"/>
      <c r="HM84" s="301"/>
      <c r="HN84" s="301"/>
      <c r="HO84" s="321"/>
      <c r="HP84" s="321"/>
      <c r="HQ84" s="321"/>
      <c r="HR84" s="321"/>
      <c r="HS84" s="362"/>
      <c r="HT84" s="362"/>
      <c r="HU84" s="321"/>
      <c r="HV84" s="362"/>
      <c r="HW84" s="362"/>
      <c r="HX84" s="362"/>
      <c r="HY84" s="301"/>
      <c r="HZ84" s="321"/>
      <c r="IA84" s="301"/>
      <c r="IB84" s="301"/>
      <c r="IC84" s="301"/>
      <c r="ID84" s="301"/>
      <c r="IE84" s="301"/>
      <c r="IF84" s="301"/>
      <c r="IG84" s="321"/>
      <c r="IH84" s="321"/>
      <c r="II84" s="321"/>
      <c r="IJ84" s="321"/>
      <c r="IK84" s="321"/>
      <c r="IL84" s="321"/>
      <c r="IM84" s="321"/>
      <c r="IN84" s="321"/>
      <c r="IO84" s="321"/>
      <c r="IP84" s="321"/>
      <c r="IQ84" s="321"/>
      <c r="IR84" s="321"/>
      <c r="IS84" s="321"/>
      <c r="IT84" s="321"/>
      <c r="IU84" s="321"/>
      <c r="IV84" s="321"/>
      <c r="IW84" s="321"/>
      <c r="IX84" s="321"/>
      <c r="IY84" s="321"/>
      <c r="IZ84" s="321"/>
      <c r="JA84" s="321"/>
      <c r="JB84" s="321"/>
      <c r="JC84" s="321"/>
      <c r="JD84" s="321"/>
      <c r="JE84" s="321"/>
      <c r="JF84" s="321"/>
      <c r="JG84" s="321"/>
      <c r="JH84" s="321"/>
      <c r="JI84" s="321"/>
      <c r="JJ84" s="321"/>
      <c r="JK84" s="321"/>
      <c r="JL84" s="301"/>
      <c r="JM84" s="12"/>
      <c r="JN84" s="11"/>
      <c r="JO84" s="11"/>
      <c r="JP84" s="11"/>
      <c r="JQ84" s="11"/>
      <c r="JR84" s="11"/>
      <c r="JS84" s="11"/>
      <c r="JT84" s="10"/>
    </row>
    <row r="85" spans="1:282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>
        <f t="shared" ref="CC85:DB85" si="175">(CC62+CC77)/1000</f>
        <v>18.115569999999995</v>
      </c>
      <c r="CD85" s="34">
        <f t="shared" si="175"/>
        <v>13.984845999999999</v>
      </c>
      <c r="CE85" s="178">
        <f t="shared" si="175"/>
        <v>12.93914</v>
      </c>
      <c r="CF85" s="34">
        <f t="shared" si="175"/>
        <v>13.656443999999999</v>
      </c>
      <c r="CG85" s="34">
        <f t="shared" si="175"/>
        <v>13.842598000000001</v>
      </c>
      <c r="CH85" s="34">
        <f t="shared" si="175"/>
        <v>13.282032000000001</v>
      </c>
      <c r="CI85" s="34">
        <f t="shared" si="175"/>
        <v>15.020408</v>
      </c>
      <c r="CJ85" s="34">
        <f t="shared" si="175"/>
        <v>21.779774</v>
      </c>
      <c r="CK85" s="34">
        <f t="shared" si="175"/>
        <v>20.478482</v>
      </c>
      <c r="CL85" s="34">
        <f t="shared" si="175"/>
        <v>25.672702000000001</v>
      </c>
      <c r="CM85" s="34">
        <f t="shared" si="175"/>
        <v>26.619453999999998</v>
      </c>
      <c r="CN85" s="34">
        <f t="shared" si="175"/>
        <v>26.873946</v>
      </c>
      <c r="CO85" s="34">
        <f t="shared" si="175"/>
        <v>222.26539600000001</v>
      </c>
      <c r="CP85" s="34">
        <f t="shared" si="175"/>
        <v>25.120293999999998</v>
      </c>
      <c r="CQ85" s="34">
        <f t="shared" si="175"/>
        <v>21.966273000000001</v>
      </c>
      <c r="CR85" s="34">
        <f t="shared" si="175"/>
        <v>22.922126999999996</v>
      </c>
      <c r="CS85" s="34">
        <f t="shared" si="175"/>
        <v>19.127379000000001</v>
      </c>
      <c r="CT85" s="34">
        <f t="shared" si="175"/>
        <v>13.970401000000003</v>
      </c>
      <c r="CU85" s="34">
        <f t="shared" si="175"/>
        <v>16.297481000000001</v>
      </c>
      <c r="CV85" s="34">
        <f t="shared" si="175"/>
        <v>22.176078000000004</v>
      </c>
      <c r="CW85" s="34">
        <f t="shared" si="175"/>
        <v>19.017671</v>
      </c>
      <c r="CX85" s="34">
        <f t="shared" si="175"/>
        <v>19.437039000000002</v>
      </c>
      <c r="CY85" s="34">
        <f t="shared" si="175"/>
        <v>18.667631999999998</v>
      </c>
      <c r="CZ85" s="34">
        <f t="shared" si="175"/>
        <v>19.276860000000003</v>
      </c>
      <c r="DA85" s="34">
        <f t="shared" si="175"/>
        <v>15.684145999999998</v>
      </c>
      <c r="DB85" s="34">
        <f t="shared" si="175"/>
        <v>233.66338100000002</v>
      </c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259"/>
      <c r="GD85" s="259"/>
      <c r="GE85" s="259"/>
      <c r="GF85" s="34"/>
      <c r="GG85" s="34"/>
      <c r="GH85" s="34"/>
      <c r="GI85" s="34"/>
      <c r="GJ85" s="34"/>
      <c r="GK85" s="34"/>
      <c r="GL85" s="34"/>
      <c r="GM85" s="34"/>
      <c r="GN85" s="34"/>
      <c r="GO85" s="320"/>
      <c r="GP85" s="320"/>
      <c r="GQ85" s="34"/>
      <c r="GR85" s="320"/>
      <c r="GS85" s="320"/>
      <c r="GT85" s="259"/>
      <c r="GU85" s="259"/>
      <c r="GV85" s="320"/>
      <c r="GW85" s="320"/>
      <c r="GX85" s="320"/>
      <c r="GY85" s="320"/>
      <c r="GZ85" s="320"/>
      <c r="HA85" s="320"/>
      <c r="HB85" s="320"/>
      <c r="HC85" s="320"/>
      <c r="HD85" s="259"/>
      <c r="HE85" s="259"/>
      <c r="HF85" s="259"/>
      <c r="HG85" s="259"/>
      <c r="HH85" s="259"/>
      <c r="HI85" s="259"/>
      <c r="HJ85" s="259"/>
      <c r="HK85" s="259"/>
      <c r="HL85" s="259"/>
      <c r="HM85" s="259"/>
      <c r="HN85" s="259"/>
      <c r="HO85" s="320"/>
      <c r="HP85" s="320"/>
      <c r="HQ85" s="320"/>
      <c r="HR85" s="320"/>
      <c r="HS85" s="361"/>
      <c r="HT85" s="361"/>
      <c r="HU85" s="320"/>
      <c r="HV85" s="361"/>
      <c r="HW85" s="361"/>
      <c r="HX85" s="361"/>
      <c r="HY85" s="259"/>
      <c r="HZ85" s="320"/>
      <c r="IA85" s="259"/>
      <c r="IB85" s="259"/>
      <c r="IC85" s="259"/>
      <c r="ID85" s="259"/>
      <c r="IE85" s="259"/>
      <c r="IF85" s="259"/>
      <c r="IG85" s="320"/>
      <c r="IH85" s="320"/>
      <c r="II85" s="320"/>
      <c r="IJ85" s="320"/>
      <c r="IK85" s="320"/>
      <c r="IL85" s="320"/>
      <c r="IM85" s="320"/>
      <c r="IN85" s="320"/>
      <c r="IO85" s="320"/>
      <c r="IP85" s="320"/>
      <c r="IQ85" s="320"/>
      <c r="IR85" s="320"/>
      <c r="IS85" s="320"/>
      <c r="IT85" s="320"/>
      <c r="IU85" s="320"/>
      <c r="IV85" s="320"/>
      <c r="IW85" s="320"/>
      <c r="IX85" s="320"/>
      <c r="IY85" s="320"/>
      <c r="IZ85" s="320"/>
      <c r="JA85" s="320"/>
      <c r="JB85" s="320"/>
      <c r="JC85" s="320"/>
      <c r="JD85" s="320"/>
      <c r="JE85" s="320"/>
      <c r="JF85" s="320"/>
      <c r="JG85" s="320"/>
      <c r="JH85" s="320"/>
      <c r="JI85" s="320"/>
      <c r="JJ85" s="320"/>
      <c r="JK85" s="320"/>
      <c r="JL85" s="259"/>
      <c r="JM85" s="11"/>
      <c r="JN85" s="11"/>
      <c r="JO85" s="11"/>
      <c r="JP85" s="11"/>
      <c r="JQ85" s="11"/>
      <c r="JR85" s="11"/>
      <c r="JS85" s="11"/>
      <c r="JT85" s="11"/>
    </row>
    <row r="86" spans="1:282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116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301"/>
      <c r="GD86" s="301"/>
      <c r="GE86" s="301"/>
      <c r="GF86" s="116"/>
      <c r="GG86" s="116"/>
      <c r="GH86" s="116"/>
      <c r="GI86" s="116"/>
      <c r="GJ86" s="116"/>
      <c r="GK86" s="116"/>
      <c r="GL86" s="116"/>
      <c r="GM86" s="116"/>
      <c r="GN86" s="116"/>
      <c r="GO86" s="321"/>
      <c r="GP86" s="321"/>
      <c r="GQ86" s="116"/>
      <c r="GR86" s="321"/>
      <c r="GS86" s="321"/>
      <c r="GT86" s="301"/>
      <c r="GU86" s="301"/>
      <c r="GV86" s="321"/>
      <c r="GW86" s="321"/>
      <c r="GX86" s="321"/>
      <c r="GY86" s="321"/>
      <c r="GZ86" s="321"/>
      <c r="HA86" s="321"/>
      <c r="HB86" s="321"/>
      <c r="HC86" s="321"/>
      <c r="HD86" s="301"/>
      <c r="HE86" s="301"/>
      <c r="HF86" s="301"/>
      <c r="HG86" s="301"/>
      <c r="HH86" s="301"/>
      <c r="HI86" s="301"/>
      <c r="HJ86" s="301"/>
      <c r="HK86" s="301"/>
      <c r="HL86" s="301"/>
      <c r="HM86" s="301"/>
      <c r="HN86" s="301"/>
      <c r="HO86" s="321"/>
      <c r="HP86" s="321"/>
      <c r="HQ86" s="321"/>
      <c r="HR86" s="321"/>
      <c r="HS86" s="362"/>
      <c r="HT86" s="362"/>
      <c r="HU86" s="321"/>
      <c r="HV86" s="362"/>
      <c r="HW86" s="362"/>
      <c r="HX86" s="362"/>
      <c r="HY86" s="301"/>
      <c r="HZ86" s="321"/>
      <c r="IA86" s="301"/>
      <c r="IB86" s="301"/>
      <c r="IC86" s="301"/>
      <c r="ID86" s="301"/>
      <c r="IE86" s="301"/>
      <c r="IF86" s="301"/>
      <c r="IG86" s="321"/>
      <c r="IH86" s="321"/>
      <c r="II86" s="321"/>
      <c r="IJ86" s="321"/>
      <c r="IK86" s="321"/>
      <c r="IL86" s="321"/>
      <c r="IM86" s="321"/>
      <c r="IN86" s="321"/>
      <c r="IO86" s="321"/>
      <c r="IP86" s="321"/>
      <c r="IQ86" s="321"/>
      <c r="IR86" s="321"/>
      <c r="IS86" s="321"/>
      <c r="IT86" s="321"/>
      <c r="IU86" s="321"/>
      <c r="IV86" s="321"/>
      <c r="IW86" s="321"/>
      <c r="IX86" s="321"/>
      <c r="IY86" s="321"/>
      <c r="IZ86" s="321"/>
      <c r="JA86" s="321"/>
      <c r="JB86" s="321"/>
      <c r="JC86" s="321"/>
      <c r="JD86" s="321"/>
      <c r="JE86" s="321"/>
      <c r="JF86" s="321"/>
      <c r="JG86" s="321"/>
      <c r="JH86" s="321"/>
      <c r="JI86" s="321"/>
      <c r="JJ86" s="321"/>
      <c r="JK86" s="321"/>
      <c r="JL86" s="301"/>
      <c r="JM86" s="10"/>
      <c r="JN86" s="10"/>
      <c r="JO86" s="10"/>
      <c r="JP86" s="10"/>
      <c r="JQ86" s="10"/>
      <c r="JR86" s="10"/>
      <c r="JS86" s="9"/>
      <c r="JT86" s="11"/>
    </row>
    <row r="87" spans="1:282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179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116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16"/>
      <c r="FM87" s="116"/>
      <c r="FN87" s="116"/>
      <c r="FO87" s="116"/>
      <c r="FP87" s="116"/>
      <c r="FQ87" s="116"/>
      <c r="FR87" s="116"/>
      <c r="FS87" s="116"/>
      <c r="FT87" s="116"/>
      <c r="FU87" s="116"/>
      <c r="FV87" s="116"/>
      <c r="FW87" s="116"/>
      <c r="FX87" s="116"/>
      <c r="FY87" s="116"/>
      <c r="FZ87" s="116"/>
      <c r="GA87" s="116"/>
      <c r="GB87" s="116"/>
      <c r="GC87" s="301"/>
      <c r="GD87" s="301"/>
      <c r="GE87" s="301"/>
      <c r="GF87" s="116"/>
      <c r="GG87" s="116"/>
      <c r="GH87" s="116"/>
      <c r="GI87" s="116"/>
      <c r="GJ87" s="116"/>
      <c r="GK87" s="116"/>
      <c r="GL87" s="116"/>
      <c r="GM87" s="116"/>
      <c r="GN87" s="116"/>
      <c r="GO87" s="321"/>
      <c r="GP87" s="321"/>
      <c r="GQ87" s="116"/>
      <c r="GR87" s="321"/>
      <c r="GS87" s="321"/>
      <c r="GT87" s="301"/>
      <c r="GU87" s="301"/>
      <c r="GV87" s="321"/>
      <c r="GW87" s="321"/>
      <c r="GX87" s="321"/>
      <c r="GY87" s="321"/>
      <c r="GZ87" s="321"/>
      <c r="HA87" s="321"/>
      <c r="HB87" s="321"/>
      <c r="HC87" s="321"/>
      <c r="HD87" s="301"/>
      <c r="HE87" s="301"/>
      <c r="HF87" s="301"/>
      <c r="HG87" s="301"/>
      <c r="HH87" s="301"/>
      <c r="HI87" s="301"/>
      <c r="HJ87" s="301"/>
      <c r="HK87" s="301"/>
      <c r="HL87" s="301"/>
      <c r="HM87" s="301"/>
      <c r="HN87" s="301"/>
      <c r="HO87" s="321"/>
      <c r="HP87" s="321"/>
      <c r="HQ87" s="321"/>
      <c r="HR87" s="321"/>
      <c r="HS87" s="362"/>
      <c r="HT87" s="362"/>
      <c r="HU87" s="321"/>
      <c r="HV87" s="362"/>
      <c r="HW87" s="362"/>
      <c r="HX87" s="362"/>
      <c r="HY87" s="301"/>
      <c r="HZ87" s="321"/>
      <c r="IA87" s="301"/>
      <c r="IB87" s="301"/>
      <c r="IC87" s="301"/>
      <c r="ID87" s="301"/>
      <c r="IE87" s="301"/>
      <c r="IF87" s="301"/>
      <c r="IG87" s="321"/>
      <c r="IH87" s="321"/>
      <c r="II87" s="321"/>
      <c r="IJ87" s="321"/>
      <c r="IK87" s="321"/>
      <c r="IL87" s="321"/>
      <c r="IM87" s="321"/>
      <c r="IN87" s="321"/>
      <c r="IO87" s="321"/>
      <c r="IP87" s="321"/>
      <c r="IQ87" s="321"/>
      <c r="IR87" s="321"/>
      <c r="IS87" s="321"/>
      <c r="IT87" s="321"/>
      <c r="IU87" s="321"/>
      <c r="IV87" s="321"/>
      <c r="IW87" s="321"/>
      <c r="IX87" s="321"/>
      <c r="IY87" s="321"/>
      <c r="IZ87" s="321"/>
      <c r="JA87" s="321"/>
      <c r="JB87" s="321"/>
      <c r="JC87" s="321"/>
      <c r="JD87" s="321"/>
      <c r="JE87" s="321"/>
      <c r="JF87" s="321"/>
      <c r="JG87" s="321"/>
      <c r="JH87" s="321"/>
      <c r="JI87" s="321"/>
      <c r="JJ87" s="321"/>
      <c r="JK87" s="321"/>
      <c r="JL87" s="301"/>
      <c r="JM87" s="10"/>
      <c r="JN87" s="10"/>
      <c r="JO87" s="10"/>
      <c r="JP87" s="10"/>
      <c r="JQ87" s="10"/>
      <c r="JR87" s="10"/>
      <c r="JS87" s="10"/>
      <c r="JT87" s="10"/>
    </row>
    <row r="88" spans="1:282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116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16"/>
      <c r="FM88" s="116"/>
      <c r="FN88" s="116"/>
      <c r="FO88" s="116"/>
      <c r="FP88" s="116"/>
      <c r="FQ88" s="116"/>
      <c r="FR88" s="116"/>
      <c r="FS88" s="116"/>
      <c r="FT88" s="116"/>
      <c r="FU88" s="116"/>
      <c r="FV88" s="116"/>
      <c r="FW88" s="116"/>
      <c r="FX88" s="116"/>
      <c r="FY88" s="116"/>
      <c r="FZ88" s="116"/>
      <c r="GA88" s="116"/>
      <c r="GB88" s="116"/>
      <c r="GC88" s="301"/>
      <c r="GD88" s="301"/>
      <c r="GE88" s="301"/>
      <c r="GF88" s="116"/>
      <c r="GG88" s="116"/>
      <c r="GH88" s="116"/>
      <c r="GI88" s="116"/>
      <c r="GJ88" s="116"/>
      <c r="GK88" s="116"/>
      <c r="GL88" s="116"/>
      <c r="GM88" s="116"/>
      <c r="GN88" s="116"/>
      <c r="GO88" s="321"/>
      <c r="GP88" s="321"/>
      <c r="GQ88" s="116"/>
      <c r="GR88" s="321"/>
      <c r="GS88" s="321"/>
      <c r="GT88" s="301"/>
      <c r="GU88" s="301"/>
      <c r="GV88" s="321"/>
      <c r="GW88" s="321"/>
      <c r="GX88" s="321"/>
      <c r="GY88" s="321"/>
      <c r="GZ88" s="321"/>
      <c r="HA88" s="321"/>
      <c r="HB88" s="321"/>
      <c r="HC88" s="321"/>
      <c r="HD88" s="301"/>
      <c r="HE88" s="301"/>
      <c r="HF88" s="301"/>
      <c r="HG88" s="301"/>
      <c r="HH88" s="301"/>
      <c r="HI88" s="301"/>
      <c r="HJ88" s="301"/>
      <c r="HK88" s="301"/>
      <c r="HL88" s="301"/>
      <c r="HM88" s="301"/>
      <c r="HN88" s="301"/>
      <c r="HO88" s="321"/>
      <c r="HP88" s="321"/>
      <c r="HQ88" s="321"/>
      <c r="HR88" s="321"/>
      <c r="HS88" s="362"/>
      <c r="HT88" s="362"/>
      <c r="HU88" s="321"/>
      <c r="HV88" s="362"/>
      <c r="HW88" s="362"/>
      <c r="HX88" s="362"/>
      <c r="HY88" s="301"/>
      <c r="HZ88" s="321"/>
      <c r="IA88" s="301"/>
      <c r="IB88" s="301"/>
      <c r="IC88" s="301"/>
      <c r="ID88" s="301"/>
      <c r="IE88" s="301"/>
      <c r="IF88" s="301"/>
      <c r="IG88" s="321"/>
      <c r="IH88" s="321"/>
      <c r="II88" s="321"/>
      <c r="IJ88" s="321"/>
      <c r="IK88" s="321"/>
      <c r="IL88" s="321"/>
      <c r="IM88" s="321"/>
      <c r="IN88" s="321"/>
      <c r="IO88" s="321"/>
      <c r="IP88" s="321"/>
      <c r="IQ88" s="321"/>
      <c r="IR88" s="321"/>
      <c r="IS88" s="321"/>
      <c r="IT88" s="321"/>
      <c r="IU88" s="321"/>
      <c r="IV88" s="321"/>
      <c r="IW88" s="321"/>
      <c r="IX88" s="321"/>
      <c r="IY88" s="321"/>
      <c r="IZ88" s="321"/>
      <c r="JA88" s="321"/>
      <c r="JB88" s="321"/>
      <c r="JC88" s="321"/>
      <c r="JD88" s="321"/>
      <c r="JE88" s="321"/>
      <c r="JF88" s="321"/>
      <c r="JG88" s="321"/>
      <c r="JH88" s="321"/>
      <c r="JI88" s="321"/>
      <c r="JJ88" s="321"/>
      <c r="JK88" s="321"/>
      <c r="JL88" s="301"/>
      <c r="JM88" s="10"/>
      <c r="JN88" s="10"/>
      <c r="JO88" s="10"/>
      <c r="JP88" s="10"/>
      <c r="JQ88" s="10"/>
      <c r="JR88" s="10"/>
      <c r="JS88" s="9"/>
      <c r="JT88" s="11"/>
    </row>
    <row r="89" spans="1:282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>
        <v>168.8</v>
      </c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>
        <f>DB62-213542</f>
        <v>10614.280000000028</v>
      </c>
      <c r="DA89" s="34"/>
      <c r="DB89" s="34"/>
      <c r="DC89" s="116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16"/>
      <c r="FM89" s="116"/>
      <c r="FN89" s="116"/>
      <c r="FO89" s="116"/>
      <c r="FP89" s="116"/>
      <c r="FQ89" s="116"/>
      <c r="FR89" s="116"/>
      <c r="FS89" s="116"/>
      <c r="FT89" s="116"/>
      <c r="FU89" s="116"/>
      <c r="FV89" s="116"/>
      <c r="FW89" s="116"/>
      <c r="FX89" s="116"/>
      <c r="FY89" s="116"/>
      <c r="FZ89" s="116"/>
      <c r="GA89" s="116"/>
      <c r="GB89" s="116"/>
      <c r="GC89" s="301"/>
      <c r="GD89" s="301"/>
      <c r="GE89" s="301"/>
      <c r="GF89" s="116"/>
      <c r="GG89" s="116"/>
      <c r="GH89" s="116"/>
      <c r="GI89" s="116"/>
      <c r="GJ89" s="116"/>
      <c r="GK89" s="116"/>
      <c r="GL89" s="116"/>
      <c r="GM89" s="116"/>
      <c r="GN89" s="116"/>
      <c r="GO89" s="321"/>
      <c r="GP89" s="321"/>
      <c r="GQ89" s="116"/>
      <c r="GR89" s="321"/>
      <c r="GS89" s="321"/>
      <c r="GT89" s="301"/>
      <c r="GU89" s="301"/>
      <c r="GV89" s="321"/>
      <c r="GW89" s="321"/>
      <c r="GX89" s="321"/>
      <c r="GY89" s="321"/>
      <c r="GZ89" s="321"/>
      <c r="HA89" s="321"/>
      <c r="HB89" s="321"/>
      <c r="HC89" s="321"/>
      <c r="HD89" s="301"/>
      <c r="HE89" s="301"/>
      <c r="HF89" s="301"/>
      <c r="HG89" s="301"/>
      <c r="HH89" s="301"/>
      <c r="HI89" s="301"/>
      <c r="HJ89" s="301"/>
      <c r="HK89" s="301"/>
      <c r="HL89" s="301"/>
      <c r="HM89" s="301"/>
      <c r="HN89" s="301"/>
      <c r="HO89" s="321"/>
      <c r="HP89" s="321"/>
      <c r="HQ89" s="321"/>
      <c r="HR89" s="321"/>
      <c r="HS89" s="362"/>
      <c r="HT89" s="362"/>
      <c r="HU89" s="321"/>
      <c r="HV89" s="362"/>
      <c r="HW89" s="362"/>
      <c r="HX89" s="362"/>
      <c r="HY89" s="301"/>
      <c r="HZ89" s="321"/>
      <c r="IA89" s="301"/>
      <c r="IB89" s="301"/>
      <c r="IC89" s="301"/>
      <c r="ID89" s="301"/>
      <c r="IE89" s="301"/>
      <c r="IF89" s="301"/>
      <c r="IG89" s="321"/>
      <c r="IH89" s="321"/>
      <c r="II89" s="321"/>
      <c r="IJ89" s="321"/>
      <c r="IK89" s="321"/>
      <c r="IL89" s="321"/>
      <c r="IM89" s="321"/>
      <c r="IN89" s="321"/>
      <c r="IO89" s="321"/>
      <c r="IP89" s="321"/>
      <c r="IQ89" s="321"/>
      <c r="IR89" s="321"/>
      <c r="IS89" s="321"/>
      <c r="IT89" s="321"/>
      <c r="IU89" s="321"/>
      <c r="IV89" s="321"/>
      <c r="IW89" s="321"/>
      <c r="IX89" s="321"/>
      <c r="IY89" s="321"/>
      <c r="IZ89" s="321"/>
      <c r="JA89" s="321"/>
      <c r="JB89" s="321"/>
      <c r="JC89" s="321"/>
      <c r="JD89" s="321"/>
      <c r="JE89" s="321"/>
      <c r="JF89" s="321"/>
      <c r="JG89" s="321"/>
      <c r="JH89" s="321"/>
      <c r="JI89" s="321"/>
      <c r="JJ89" s="321"/>
      <c r="JK89" s="321"/>
      <c r="JL89" s="301"/>
      <c r="JM89" s="10"/>
      <c r="JN89" s="10"/>
      <c r="JO89" s="10"/>
      <c r="JP89" s="10"/>
      <c r="JQ89" s="10"/>
      <c r="JR89" s="10"/>
      <c r="JS89" s="9"/>
      <c r="JT89" s="11"/>
    </row>
    <row r="90" spans="1:282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>
        <v>113.5</v>
      </c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116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301"/>
      <c r="GD90" s="301"/>
      <c r="GE90" s="301"/>
      <c r="GF90" s="116"/>
      <c r="GG90" s="116"/>
      <c r="GH90" s="116"/>
      <c r="GI90" s="116"/>
      <c r="GJ90" s="116"/>
      <c r="GK90" s="116"/>
      <c r="GL90" s="116"/>
      <c r="GM90" s="116"/>
      <c r="GN90" s="116"/>
      <c r="GO90" s="321"/>
      <c r="GP90" s="321"/>
      <c r="GQ90" s="116"/>
      <c r="GR90" s="321"/>
      <c r="GS90" s="321"/>
      <c r="GT90" s="301"/>
      <c r="GU90" s="301"/>
      <c r="GV90" s="321"/>
      <c r="GW90" s="321"/>
      <c r="GX90" s="321"/>
      <c r="GY90" s="321"/>
      <c r="GZ90" s="321"/>
      <c r="HA90" s="321"/>
      <c r="HB90" s="321"/>
      <c r="HC90" s="321"/>
      <c r="HD90" s="301"/>
      <c r="HE90" s="301"/>
      <c r="HF90" s="301"/>
      <c r="HG90" s="301"/>
      <c r="HH90" s="301"/>
      <c r="HI90" s="301"/>
      <c r="HJ90" s="301"/>
      <c r="HK90" s="301"/>
      <c r="HL90" s="301"/>
      <c r="HM90" s="301"/>
      <c r="HN90" s="301"/>
      <c r="HO90" s="321"/>
      <c r="HP90" s="321"/>
      <c r="HQ90" s="321"/>
      <c r="HR90" s="321"/>
      <c r="HS90" s="362"/>
      <c r="HT90" s="362"/>
      <c r="HU90" s="321"/>
      <c r="HV90" s="362"/>
      <c r="HW90" s="362"/>
      <c r="HX90" s="362"/>
      <c r="HY90" s="301"/>
      <c r="HZ90" s="321"/>
      <c r="IA90" s="301"/>
      <c r="IB90" s="301"/>
      <c r="IC90" s="301"/>
      <c r="ID90" s="301"/>
      <c r="IE90" s="301"/>
      <c r="IF90" s="301"/>
      <c r="IG90" s="321"/>
      <c r="IH90" s="321"/>
      <c r="II90" s="321"/>
      <c r="IJ90" s="321"/>
      <c r="IK90" s="321"/>
      <c r="IL90" s="321"/>
      <c r="IM90" s="321"/>
      <c r="IN90" s="321"/>
      <c r="IO90" s="321"/>
      <c r="IP90" s="321"/>
      <c r="IQ90" s="321"/>
      <c r="IR90" s="321"/>
      <c r="IS90" s="321"/>
      <c r="IT90" s="321"/>
      <c r="IU90" s="321"/>
      <c r="IV90" s="321"/>
      <c r="IW90" s="321"/>
      <c r="IX90" s="321"/>
      <c r="IY90" s="321"/>
      <c r="IZ90" s="321"/>
      <c r="JA90" s="321"/>
      <c r="JB90" s="321"/>
      <c r="JC90" s="321"/>
      <c r="JD90" s="321"/>
      <c r="JE90" s="321"/>
      <c r="JF90" s="321"/>
      <c r="JG90" s="321"/>
      <c r="JH90" s="321"/>
      <c r="JI90" s="321"/>
      <c r="JJ90" s="321"/>
      <c r="JK90" s="321"/>
      <c r="JL90" s="301"/>
      <c r="JM90" s="10"/>
      <c r="JN90" s="10"/>
      <c r="JO90" s="10"/>
      <c r="JP90" s="10"/>
      <c r="JQ90" s="10"/>
      <c r="JR90" s="11"/>
      <c r="JS90" s="11"/>
      <c r="JT90" s="10"/>
    </row>
    <row r="91" spans="1:282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>
        <f>AK89/AK90</f>
        <v>1.4872246696035243</v>
      </c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116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301"/>
      <c r="GD91" s="301"/>
      <c r="GE91" s="301"/>
      <c r="GF91" s="116"/>
      <c r="GG91" s="116"/>
      <c r="GH91" s="116"/>
      <c r="GI91" s="116"/>
      <c r="GJ91" s="116"/>
      <c r="GK91" s="116"/>
      <c r="GL91" s="116"/>
      <c r="GM91" s="116"/>
      <c r="GN91" s="116"/>
      <c r="GO91" s="321"/>
      <c r="GP91" s="321"/>
      <c r="GQ91" s="116"/>
      <c r="GR91" s="321"/>
      <c r="GS91" s="321"/>
      <c r="GT91" s="301"/>
      <c r="GU91" s="301"/>
      <c r="GV91" s="321"/>
      <c r="GW91" s="321"/>
      <c r="GX91" s="321"/>
      <c r="GY91" s="321"/>
      <c r="GZ91" s="321"/>
      <c r="HA91" s="321"/>
      <c r="HB91" s="321"/>
      <c r="HC91" s="321"/>
      <c r="HD91" s="301"/>
      <c r="HE91" s="301"/>
      <c r="HF91" s="301"/>
      <c r="HG91" s="301"/>
      <c r="HH91" s="301"/>
      <c r="HI91" s="301"/>
      <c r="HJ91" s="301"/>
      <c r="HK91" s="301"/>
      <c r="HL91" s="301"/>
      <c r="HM91" s="301"/>
      <c r="HN91" s="301"/>
      <c r="HO91" s="321"/>
      <c r="HP91" s="321"/>
      <c r="HQ91" s="321"/>
      <c r="HR91" s="321"/>
      <c r="HS91" s="362"/>
      <c r="HT91" s="362"/>
      <c r="HU91" s="321"/>
      <c r="HV91" s="362"/>
      <c r="HW91" s="362"/>
      <c r="HX91" s="362"/>
      <c r="HY91" s="301"/>
      <c r="HZ91" s="321"/>
      <c r="IA91" s="301"/>
      <c r="IB91" s="301"/>
      <c r="IC91" s="301"/>
      <c r="ID91" s="301"/>
      <c r="IE91" s="301"/>
      <c r="IF91" s="301"/>
      <c r="IG91" s="321"/>
      <c r="IH91" s="321"/>
      <c r="II91" s="321"/>
      <c r="IJ91" s="321"/>
      <c r="IK91" s="321"/>
      <c r="IL91" s="321"/>
      <c r="IM91" s="321"/>
      <c r="IN91" s="321"/>
      <c r="IO91" s="321"/>
      <c r="IP91" s="321"/>
      <c r="IQ91" s="321"/>
      <c r="IR91" s="321"/>
      <c r="IS91" s="321"/>
      <c r="IT91" s="321"/>
      <c r="IU91" s="321"/>
      <c r="IV91" s="321"/>
      <c r="IW91" s="321"/>
      <c r="IX91" s="321"/>
      <c r="IY91" s="321"/>
      <c r="IZ91" s="321"/>
      <c r="JA91" s="321"/>
      <c r="JB91" s="321"/>
      <c r="JC91" s="321"/>
      <c r="JD91" s="321"/>
      <c r="JE91" s="321"/>
      <c r="JF91" s="321"/>
      <c r="JG91" s="321"/>
      <c r="JH91" s="321"/>
      <c r="JI91" s="321"/>
      <c r="JJ91" s="321"/>
      <c r="JK91" s="321"/>
      <c r="JL91" s="301"/>
      <c r="JM91" s="11"/>
      <c r="JN91" s="11"/>
      <c r="JO91" s="11"/>
      <c r="JP91" s="11"/>
      <c r="JQ91" s="11"/>
      <c r="JR91" s="11"/>
      <c r="JS91" s="11"/>
      <c r="JT91" s="11"/>
    </row>
    <row r="92" spans="1:282" x14ac:dyDescent="0.25">
      <c r="JM92" s="10"/>
      <c r="JN92" s="10"/>
      <c r="JO92" s="10"/>
      <c r="JP92" s="10"/>
      <c r="JQ92" s="10"/>
      <c r="JR92" s="10"/>
      <c r="JS92" s="9"/>
      <c r="JT92" s="11"/>
    </row>
    <row r="93" spans="1:282" x14ac:dyDescent="0.25">
      <c r="JM93" s="10"/>
      <c r="JN93" s="10"/>
      <c r="JO93" s="10"/>
      <c r="JP93" s="10"/>
      <c r="JQ93" s="10"/>
      <c r="JR93" s="10"/>
      <c r="JS93" s="9"/>
      <c r="JT93" s="11"/>
    </row>
    <row r="94" spans="1:282" x14ac:dyDescent="0.25">
      <c r="AZ94" s="1" t="s">
        <v>83</v>
      </c>
      <c r="JM94" s="9"/>
      <c r="JN94" s="9"/>
      <c r="JO94" s="9"/>
      <c r="JP94" s="9"/>
      <c r="JQ94" s="9"/>
      <c r="JR94" s="9"/>
      <c r="JS94" s="9"/>
      <c r="JT94" s="10"/>
    </row>
    <row r="95" spans="1:282" x14ac:dyDescent="0.25">
      <c r="JM95" s="10"/>
      <c r="JN95" s="10"/>
      <c r="JO95" s="10"/>
      <c r="JP95" s="10"/>
      <c r="JQ95" s="10"/>
      <c r="JR95" s="10"/>
      <c r="JS95" s="9"/>
      <c r="JT95" s="11"/>
    </row>
    <row r="96" spans="1:282" x14ac:dyDescent="0.25">
      <c r="JM96" s="10"/>
      <c r="JN96" s="10"/>
      <c r="JO96" s="10"/>
      <c r="JP96" s="10"/>
      <c r="JQ96" s="10"/>
      <c r="JR96" s="10"/>
      <c r="JS96" s="9"/>
      <c r="JT96" s="11"/>
    </row>
    <row r="97" spans="273:280" x14ac:dyDescent="0.25">
      <c r="JM97" s="11"/>
      <c r="JN97" s="11"/>
      <c r="JO97" s="11"/>
      <c r="JP97" s="11"/>
      <c r="JQ97" s="11"/>
      <c r="JR97" s="11"/>
      <c r="JS97" s="11"/>
      <c r="JT97" s="11"/>
    </row>
    <row r="98" spans="273:280" x14ac:dyDescent="0.25">
      <c r="JM98" s="10"/>
      <c r="JN98" s="10"/>
      <c r="JO98" s="10"/>
      <c r="JP98" s="10"/>
      <c r="JQ98" s="10"/>
      <c r="JR98" s="10"/>
      <c r="JS98" s="11"/>
      <c r="JT98" s="10"/>
    </row>
    <row r="99" spans="273:280" x14ac:dyDescent="0.25">
      <c r="JM99" s="10"/>
      <c r="JN99" s="10"/>
      <c r="JO99" s="10"/>
      <c r="JP99" s="10"/>
      <c r="JQ99" s="10"/>
      <c r="JR99" s="10"/>
      <c r="JS99" s="9"/>
      <c r="JT99" s="11"/>
    </row>
    <row r="100" spans="273:280" x14ac:dyDescent="0.25">
      <c r="JM100" s="9"/>
      <c r="JN100" s="9"/>
      <c r="JO100" s="9"/>
      <c r="JP100" s="9"/>
      <c r="JQ100" s="9"/>
      <c r="JR100" s="9"/>
      <c r="JS100" s="9"/>
      <c r="JT100" s="10"/>
    </row>
    <row r="101" spans="273:280" x14ac:dyDescent="0.25">
      <c r="JM101" s="10"/>
      <c r="JN101" s="10"/>
      <c r="JO101" s="10"/>
      <c r="JP101" s="10"/>
      <c r="JQ101" s="10"/>
      <c r="JR101" s="10"/>
      <c r="JS101" s="9"/>
      <c r="JT101" s="11"/>
    </row>
    <row r="102" spans="273:280" x14ac:dyDescent="0.25">
      <c r="JM102" s="9"/>
      <c r="JN102" s="9"/>
      <c r="JO102" s="9"/>
      <c r="JP102" s="9"/>
      <c r="JQ102" s="9"/>
      <c r="JR102" s="9"/>
      <c r="JS102" s="9"/>
      <c r="JT102" s="10"/>
    </row>
    <row r="103" spans="273:280" x14ac:dyDescent="0.25">
      <c r="JM103" s="10"/>
      <c r="JN103" s="10"/>
      <c r="JO103" s="10"/>
      <c r="JP103" s="10"/>
      <c r="JQ103" s="10"/>
      <c r="JR103" s="10"/>
      <c r="JS103" s="9"/>
      <c r="JT103" s="11"/>
    </row>
    <row r="104" spans="273:280" x14ac:dyDescent="0.25">
      <c r="JM104" s="11"/>
      <c r="JN104" s="11"/>
      <c r="JO104" s="11"/>
      <c r="JP104" s="11"/>
      <c r="JQ104" s="11"/>
      <c r="JR104" s="11"/>
      <c r="JS104" s="11"/>
      <c r="JT104" s="11"/>
    </row>
    <row r="105" spans="273:280" x14ac:dyDescent="0.25">
      <c r="JM105" s="11"/>
      <c r="JN105" s="11"/>
      <c r="JO105" s="11"/>
      <c r="JP105" s="11"/>
      <c r="JQ105" s="10"/>
      <c r="JR105" s="10"/>
      <c r="JS105" s="11"/>
      <c r="JT105" s="11"/>
    </row>
    <row r="106" spans="273:280" x14ac:dyDescent="0.25">
      <c r="JM106" s="11"/>
      <c r="JN106" s="11"/>
      <c r="JO106" s="11"/>
      <c r="JP106" s="11"/>
      <c r="JQ106" s="10"/>
      <c r="JR106" s="10"/>
      <c r="JS106" s="11"/>
      <c r="JT106" s="11"/>
    </row>
    <row r="107" spans="273:280" x14ac:dyDescent="0.25">
      <c r="JM107" s="11"/>
      <c r="JN107" s="11"/>
      <c r="JO107" s="11"/>
      <c r="JP107" s="11"/>
      <c r="JQ107" s="11"/>
      <c r="JR107" s="11"/>
      <c r="JS107" s="11"/>
      <c r="JT107" s="11"/>
    </row>
    <row r="108" spans="273:280" x14ac:dyDescent="0.25">
      <c r="JM108" s="11"/>
      <c r="JN108" s="11"/>
      <c r="JO108" s="11"/>
      <c r="JP108" s="11"/>
      <c r="JQ108" s="11"/>
      <c r="JR108" s="11"/>
      <c r="JS108" s="11"/>
      <c r="JT108" s="11"/>
    </row>
    <row r="109" spans="273:280" x14ac:dyDescent="0.25">
      <c r="JM109" s="10"/>
      <c r="JN109" s="10"/>
      <c r="JO109" s="10"/>
      <c r="JP109" s="10"/>
      <c r="JQ109" s="10"/>
      <c r="JR109" s="10"/>
      <c r="JS109" s="10"/>
      <c r="JT109" s="10"/>
    </row>
    <row r="110" spans="273:280" x14ac:dyDescent="0.25">
      <c r="JM110" s="11"/>
      <c r="JN110" s="11"/>
      <c r="JO110" s="11"/>
      <c r="JP110" s="11"/>
      <c r="JQ110" s="11"/>
      <c r="JR110" s="11"/>
      <c r="JS110" s="11"/>
      <c r="JT110" s="11"/>
    </row>
    <row r="111" spans="273:280" x14ac:dyDescent="0.25">
      <c r="JM111" s="10"/>
      <c r="JN111" s="11"/>
      <c r="JO111" s="10"/>
      <c r="JP111" s="10"/>
      <c r="JQ111" s="10"/>
      <c r="JR111" s="10"/>
      <c r="JS111" s="11"/>
      <c r="JT111" s="10"/>
    </row>
    <row r="112" spans="273:280" x14ac:dyDescent="0.25">
      <c r="JM112" s="10"/>
      <c r="JN112" s="10"/>
      <c r="JO112" s="10"/>
      <c r="JP112" s="10"/>
      <c r="JQ112" s="10"/>
      <c r="JR112" s="10"/>
      <c r="JS112" s="10"/>
      <c r="JT112" s="10"/>
    </row>
    <row r="113" spans="273:280" x14ac:dyDescent="0.25">
      <c r="JM113" s="16"/>
      <c r="JN113" s="16"/>
      <c r="JO113" s="16"/>
      <c r="JP113" s="16"/>
      <c r="JQ113" s="16"/>
      <c r="JR113" s="16"/>
      <c r="JS113" s="9"/>
      <c r="JT113" s="11"/>
    </row>
    <row r="114" spans="273:280" x14ac:dyDescent="0.25">
      <c r="JM114" s="15"/>
      <c r="JN114" s="15"/>
      <c r="JO114" s="15"/>
      <c r="JP114" s="15"/>
      <c r="JQ114" s="15"/>
      <c r="JR114" s="15"/>
      <c r="JS114" s="9"/>
      <c r="JT114" s="9"/>
    </row>
    <row r="115" spans="273:280" x14ac:dyDescent="0.25">
      <c r="JM115" s="9"/>
      <c r="JN115" s="9"/>
      <c r="JO115" s="9"/>
      <c r="JP115" s="9"/>
      <c r="JQ115" s="9"/>
      <c r="JR115" s="9"/>
      <c r="JS115" s="9"/>
      <c r="JT115" s="9"/>
    </row>
    <row r="116" spans="273:280" x14ac:dyDescent="0.25">
      <c r="JM116" s="16"/>
      <c r="JN116" s="16"/>
      <c r="JO116" s="16"/>
      <c r="JP116" s="16"/>
      <c r="JQ116" s="16"/>
      <c r="JR116" s="16"/>
      <c r="JS116" s="9"/>
      <c r="JT116" s="9"/>
    </row>
    <row r="117" spans="273:280" x14ac:dyDescent="0.25">
      <c r="JM117" s="5"/>
      <c r="JN117" s="5"/>
      <c r="JO117" s="5"/>
      <c r="JP117" s="5"/>
      <c r="JQ117" s="5"/>
      <c r="JR117" s="5"/>
      <c r="JS117" s="5"/>
      <c r="JT117" s="5"/>
    </row>
    <row r="118" spans="273:280" x14ac:dyDescent="0.25">
      <c r="JM118" s="5"/>
      <c r="JN118" s="5"/>
      <c r="JO118" s="5"/>
      <c r="JP118" s="5"/>
      <c r="JQ118" s="5"/>
      <c r="JR118" s="5"/>
      <c r="JS118" s="23"/>
      <c r="JT118" s="23"/>
    </row>
    <row r="119" spans="273:280" x14ac:dyDescent="0.25">
      <c r="JM119" s="5"/>
      <c r="JN119" s="5"/>
      <c r="JO119" s="5"/>
      <c r="JP119" s="5"/>
      <c r="JQ119" s="5"/>
      <c r="JR119" s="5"/>
      <c r="JS119" s="23"/>
      <c r="JT119" s="23"/>
    </row>
    <row r="120" spans="273:280" x14ac:dyDescent="0.25">
      <c r="JM120" s="7"/>
      <c r="JN120" s="7"/>
      <c r="JO120" s="7"/>
      <c r="JP120" s="7"/>
      <c r="JQ120" s="7"/>
      <c r="JR120" s="7"/>
      <c r="JS120" s="7"/>
      <c r="JT120" s="7"/>
    </row>
    <row r="121" spans="273:280" x14ac:dyDescent="0.25">
      <c r="JM121" s="7"/>
      <c r="JN121" s="7"/>
      <c r="JO121" s="7"/>
      <c r="JP121" s="7"/>
      <c r="JQ121" s="7"/>
      <c r="JR121" s="7"/>
      <c r="JS121" s="7"/>
      <c r="JT121" s="7"/>
    </row>
    <row r="122" spans="273:280" x14ac:dyDescent="0.25">
      <c r="JM122" s="12"/>
      <c r="JN122" s="10"/>
      <c r="JO122" s="10"/>
      <c r="JP122" s="10"/>
      <c r="JQ122" s="10"/>
      <c r="JR122" s="10"/>
      <c r="JS122" s="9"/>
      <c r="JT122" s="10"/>
    </row>
    <row r="123" spans="273:280" x14ac:dyDescent="0.25">
      <c r="JM123" s="10"/>
      <c r="JN123" s="10"/>
      <c r="JO123" s="10"/>
      <c r="JP123" s="10"/>
      <c r="JQ123" s="10"/>
      <c r="JR123" s="21"/>
      <c r="JS123" s="9"/>
      <c r="JT123" s="10"/>
    </row>
    <row r="124" spans="273:280" x14ac:dyDescent="0.25">
      <c r="JM124" s="12"/>
      <c r="JN124" s="12"/>
      <c r="JO124" s="12"/>
      <c r="JP124" s="12"/>
      <c r="JQ124" s="12"/>
      <c r="JR124" s="12"/>
      <c r="JS124" s="12"/>
      <c r="JT124" s="10"/>
    </row>
    <row r="125" spans="273:280" x14ac:dyDescent="0.25">
      <c r="JM125" s="12"/>
      <c r="JN125" s="12"/>
      <c r="JO125" s="10"/>
      <c r="JP125" s="12"/>
      <c r="JQ125" s="12"/>
      <c r="JR125" s="10"/>
      <c r="JS125" s="12"/>
      <c r="JT125" s="11"/>
    </row>
    <row r="126" spans="273:280" x14ac:dyDescent="0.25">
      <c r="JM126" s="12"/>
      <c r="JN126" s="12"/>
      <c r="JO126" s="12"/>
      <c r="JP126" s="12"/>
      <c r="JQ126" s="12"/>
      <c r="JR126" s="12"/>
      <c r="JS126" s="12"/>
      <c r="JT126" s="12"/>
    </row>
    <row r="127" spans="273:280" x14ac:dyDescent="0.25">
      <c r="JM127" s="10"/>
      <c r="JN127" s="10"/>
      <c r="JO127" s="10"/>
      <c r="JP127" s="12"/>
      <c r="JQ127" s="12"/>
      <c r="JR127" s="10"/>
      <c r="JS127" s="9"/>
      <c r="JT127" s="11"/>
    </row>
    <row r="128" spans="273:280" x14ac:dyDescent="0.25">
      <c r="JM128" s="12"/>
      <c r="JN128" s="12"/>
      <c r="JO128" s="11"/>
      <c r="JP128" s="11"/>
      <c r="JQ128" s="12"/>
      <c r="JR128" s="11"/>
      <c r="JS128" s="11"/>
      <c r="JT128" s="10"/>
    </row>
    <row r="129" spans="273:280" x14ac:dyDescent="0.25">
      <c r="JM129" s="10"/>
      <c r="JN129" s="10"/>
      <c r="JO129" s="10"/>
      <c r="JP129" s="12"/>
      <c r="JQ129" s="10"/>
      <c r="JR129" s="10"/>
      <c r="JS129" s="9"/>
      <c r="JT129" s="11"/>
    </row>
    <row r="130" spans="273:280" x14ac:dyDescent="0.25">
      <c r="JM130" s="10"/>
      <c r="JN130" s="10"/>
      <c r="JO130" s="10"/>
      <c r="JP130" s="12"/>
      <c r="JQ130" s="10"/>
      <c r="JR130" s="10"/>
      <c r="JS130" s="9"/>
      <c r="JT130" s="11"/>
    </row>
    <row r="131" spans="273:280" x14ac:dyDescent="0.25">
      <c r="JM131" s="10"/>
      <c r="JN131" s="10"/>
      <c r="JO131" s="10"/>
      <c r="JP131" s="10"/>
      <c r="JQ131" s="10"/>
      <c r="JR131" s="10"/>
      <c r="JS131" s="9"/>
      <c r="JT131" s="11"/>
    </row>
    <row r="132" spans="273:280" x14ac:dyDescent="0.25">
      <c r="JM132" s="10"/>
      <c r="JN132" s="10"/>
      <c r="JO132" s="10"/>
      <c r="JP132" s="10"/>
      <c r="JQ132" s="10"/>
      <c r="JR132" s="10"/>
      <c r="JS132" s="9"/>
      <c r="JT132" s="10"/>
    </row>
    <row r="133" spans="273:280" x14ac:dyDescent="0.25">
      <c r="JM133" s="18"/>
      <c r="JN133" s="18"/>
      <c r="JO133" s="18"/>
      <c r="JP133" s="16"/>
      <c r="JQ133" s="18"/>
      <c r="JR133" s="18"/>
      <c r="JS133" s="18"/>
      <c r="JT133" s="11"/>
    </row>
    <row r="134" spans="273:280" x14ac:dyDescent="0.25">
      <c r="JM134" s="22"/>
      <c r="JN134" s="22"/>
      <c r="JO134" s="22"/>
      <c r="JP134" s="15"/>
      <c r="JQ134" s="22"/>
      <c r="JR134" s="14"/>
      <c r="JS134" s="10"/>
      <c r="JT134" s="10"/>
    </row>
    <row r="135" spans="273:280" x14ac:dyDescent="0.25">
      <c r="JM135" s="9"/>
      <c r="JN135" s="9"/>
      <c r="JO135" s="9"/>
      <c r="JP135" s="9"/>
      <c r="JQ135" s="9"/>
      <c r="JR135" s="9"/>
      <c r="JS135" s="9"/>
      <c r="JT135" s="9"/>
    </row>
    <row r="136" spans="273:280" x14ac:dyDescent="0.25">
      <c r="JM136" s="22"/>
      <c r="JN136" s="22"/>
      <c r="JO136" s="22"/>
      <c r="JP136" s="22"/>
      <c r="JQ136" s="22"/>
      <c r="JR136" s="19"/>
      <c r="JS136" s="22"/>
      <c r="JT136" s="22"/>
    </row>
    <row r="137" spans="273:280" x14ac:dyDescent="0.25">
      <c r="JM137" s="1"/>
      <c r="JN137" s="1"/>
      <c r="JO137" s="1"/>
    </row>
    <row r="138" spans="273:280" x14ac:dyDescent="0.25">
      <c r="JM138" s="1"/>
      <c r="JN138" s="1"/>
      <c r="JO138" s="1"/>
    </row>
    <row r="139" spans="273:280" x14ac:dyDescent="0.25">
      <c r="JM139" s="1"/>
      <c r="JN139" s="1"/>
      <c r="JO139" s="1"/>
    </row>
    <row r="140" spans="273:280" x14ac:dyDescent="0.25">
      <c r="JM140" s="1"/>
      <c r="JN140" s="1"/>
      <c r="JO140" s="1"/>
    </row>
    <row r="141" spans="273:280" x14ac:dyDescent="0.25">
      <c r="JM141" s="1"/>
      <c r="JN141" s="1"/>
      <c r="JO141" s="1"/>
    </row>
    <row r="142" spans="273:280" x14ac:dyDescent="0.25">
      <c r="JM142" s="1"/>
      <c r="JN142" s="1"/>
      <c r="JO142" s="1"/>
    </row>
    <row r="143" spans="273:280" x14ac:dyDescent="0.25">
      <c r="JM143" s="1"/>
      <c r="JN143" s="1"/>
      <c r="JO143" s="1"/>
    </row>
  </sheetData>
  <mergeCells count="23">
    <mergeCell ref="HB6:HM8"/>
    <mergeCell ref="JL6:JL8"/>
    <mergeCell ref="IA6:IL8"/>
    <mergeCell ref="HO6:HZ8"/>
    <mergeCell ref="IM6:IX8"/>
    <mergeCell ref="IY6:JJ8"/>
    <mergeCell ref="JK6:JK8"/>
    <mergeCell ref="A66:EO66"/>
    <mergeCell ref="EP6:FB8"/>
    <mergeCell ref="AY7:AZ7"/>
    <mergeCell ref="DC7:DO7"/>
    <mergeCell ref="CP7:DB7"/>
    <mergeCell ref="EC6:EO8"/>
    <mergeCell ref="DQ6:EB8"/>
    <mergeCell ref="GC6:GO8"/>
    <mergeCell ref="GP6:HA8"/>
    <mergeCell ref="A3:EO3"/>
    <mergeCell ref="A4:EO4"/>
    <mergeCell ref="A65:EO65"/>
    <mergeCell ref="FC6:FO8"/>
    <mergeCell ref="FP6:GB8"/>
    <mergeCell ref="BP6:CB8"/>
    <mergeCell ref="CC6:CO8"/>
  </mergeCells>
  <phoneticPr fontId="0" type="noConversion"/>
  <printOptions horizontalCentered="1" verticalCentered="1" gridLinesSet="0"/>
  <pageMargins left="0.70866141732283472" right="0.70866141732283472" top="0.51181102362204722" bottom="0.55118110236220474" header="0.51181102362204722" footer="0.51181102362204722"/>
  <pageSetup paperSize="9" scale="64" orientation="portrait" r:id="rId1"/>
  <headerFooter alignWithMargins="0"/>
  <colBreaks count="1" manualBreakCount="1">
    <brk id="18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V2 Français</vt:lpstr>
      <vt:lpstr>'V2 Français'!Zone_d_impression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NDAYIRUKIYE Darcy</cp:lastModifiedBy>
  <cp:lastPrinted>2022-02-24T06:57:15Z</cp:lastPrinted>
  <dcterms:created xsi:type="dcterms:W3CDTF">2000-08-22T08:21:46Z</dcterms:created>
  <dcterms:modified xsi:type="dcterms:W3CDTF">2024-04-11T07:47:34Z</dcterms:modified>
</cp:coreProperties>
</file>